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ГВС" sheetId="1" r:id="rId4"/>
    <sheet state="visible" name="ХВС" sheetId="2" r:id="rId5"/>
    <sheet state="visible" name="Отопление" sheetId="3" r:id="rId6"/>
  </sheets>
  <definedNames/>
  <calcPr/>
  <extLst>
    <ext uri="GoogleSheetsCustomDataVersion1">
      <go:sheetsCustomData xmlns:go="http://customooxmlschemas.google.com/" r:id="rId7" roundtripDataSignature="AMtx7mhWOPoYAU1pjDEfGWFv8cX27esAAg=="/>
    </ext>
  </extLst>
</workbook>
</file>

<file path=xl/sharedStrings.xml><?xml version="1.0" encoding="utf-8"?>
<sst xmlns="http://schemas.openxmlformats.org/spreadsheetml/2006/main" count="228" uniqueCount="76">
  <si>
    <t>Входные данные:</t>
  </si>
  <si>
    <t>Наружный диаметр трубы, мм</t>
  </si>
  <si>
    <t>Давление, бар</t>
  </si>
  <si>
    <r>
      <rPr>
        <rFont val="Calibri"/>
        <color theme="1"/>
        <sz val="11.0"/>
      </rPr>
      <t xml:space="preserve">Температура, </t>
    </r>
    <r>
      <rPr>
        <rFont val="Calibri"/>
        <color theme="1"/>
        <sz val="11.0"/>
      </rPr>
      <t>°С</t>
    </r>
  </si>
  <si>
    <t>Коэффициент запаса прочности 1,5</t>
  </si>
  <si>
    <t>Результат:</t>
  </si>
  <si>
    <t>Параметры трубы</t>
  </si>
  <si>
    <t>Срок службы, лет</t>
  </si>
  <si>
    <t>Диаметр, мм</t>
  </si>
  <si>
    <t>Толщина стенки, мм</t>
  </si>
  <si>
    <t>SDR</t>
  </si>
  <si>
    <t>PPR</t>
  </si>
  <si>
    <t>PP-RCT</t>
  </si>
  <si>
    <t>PERT тип 2</t>
  </si>
  <si>
    <t>PEX</t>
  </si>
  <si>
    <t>PB</t>
  </si>
  <si>
    <t>Тип прокладки трубопровода</t>
  </si>
  <si>
    <t>В коробе, штробе</t>
  </si>
  <si>
    <t>В стяжке</t>
  </si>
  <si>
    <t>Расчёты:</t>
  </si>
  <si>
    <t>Уравнение слева</t>
  </si>
  <si>
    <t>Уравнение справа</t>
  </si>
  <si>
    <t>"ГОСТ 32415-2013. Межгосударственный стандарт. Трубы напорные из термопластов и соединительные детали к ним для систем водоснабжения и отопления. Общие технические условия" (введен в действие Приказом Росстандарта от 30.12.2013 N 2387-ст)</t>
  </si>
  <si>
    <t>4.3.1. Трубы из термопластов и фитинги к ним применяют в системах холодного водоснабжения, горячего водоснабжения и отопления с температурными режимами, указанными в таблице 5.</t>
  </si>
  <si>
    <t>Класс эксплуатации</t>
  </si>
  <si>
    <t>, °C</t>
  </si>
  <si>
    <t xml:space="preserve">Время при </t>
  </si>
  <si>
    <t>Область применения</t>
  </si>
  <si>
    <t>, г.</t>
  </si>
  <si>
    <t>, ч</t>
  </si>
  <si>
    <t>Горячее водоснабжение (60 °C)</t>
  </si>
  <si>
    <t>Горячее водоснабжение (70 °C)</t>
  </si>
  <si>
    <t>Примечание.</t>
  </si>
  <si>
    <t xml:space="preserve"> - рабочая температура или комбинация температур транспортируемой воды, определяемая областью применения;</t>
  </si>
  <si>
    <t xml:space="preserve"> - максимальная рабочая температура, действие которой ограничено по времени;</t>
  </si>
  <si>
    <t xml:space="preserve"> - аварийная температура, возникающая в аварийных ситуациях при нарушении систем регулирования.</t>
  </si>
  <si>
    <t>Установлены следующие классы эксплуатации труб и фитингов:</t>
  </si>
  <si>
    <t>- класс 1 - для PP-H, PP-B, PP-R, PP-RCT, PE-X, PB, PVC-C тип I, PVC-C тип II, PE-RT тип I, PE-RT тип II;</t>
  </si>
  <si>
    <t>- класс 2 - для PP-H, PP-B, PP-R, PP-RCT, PE-X, PB, PVC-C тип I, PVC-C тип II, PE-RT тип I, PE-RT тип II;</t>
  </si>
  <si>
    <t>4.3.2. Максимальный срок службы трубопровода для каждого класса эксплуатации определяется суммарным временем работы трубопровода при температурах,  и составляет 50 лет.</t>
  </si>
  <si>
    <t>При сроке службы менее 50 лет все временные характеристики, кроме , следует пропорционально уменьшить.</t>
  </si>
  <si>
    <t>4.3.3. Для классов эксплуатации 1, 2  рабочее давление  выбирают из ряда 0,4; 0,6; 0,8 и 1,0 МПа.</t>
  </si>
  <si>
    <t>4.3.4. Могут устанавливаться другие классы эксплуатации, но настоящий стандарт распространяется на значения температур не более указанных для класса 5.</t>
  </si>
  <si>
    <t>4.3.5. Трубы и фитинги для классов эксплуатации 1, 2  должны быть пригодными для транспортирования холодной воды в течение 50 лет при температуре 20 °C и рабочем давлении 1,0 МПа.</t>
  </si>
  <si>
    <r>
      <rPr>
        <rFont val="Calibri"/>
        <color theme="1"/>
        <sz val="11.0"/>
      </rPr>
      <t xml:space="preserve">Температура, </t>
    </r>
    <r>
      <rPr>
        <rFont val="Calibri"/>
        <color theme="1"/>
        <sz val="11.0"/>
      </rPr>
      <t>°С</t>
    </r>
  </si>
  <si>
    <t>Коэфф.запаса прочности согласно ГОСТ 32415 табл. Г1</t>
  </si>
  <si>
    <t>ХВ</t>
  </si>
  <si>
    <t>-</t>
  </si>
  <si>
    <t>Холодное водоснабжение</t>
  </si>
  <si>
    <t>- класс "ХВ" - для PP-H, PP-B, PP-R, PP-RCT, PE-X, PB, PVC-C тип I, PVC-C тип II, PE-RT тип I, PE-RT тип II, PE, PVC-U.</t>
  </si>
  <si>
    <t>задаваемые переменные</t>
  </si>
  <si>
    <t>справочные данные</t>
  </si>
  <si>
    <t>результат расчетов</t>
  </si>
  <si>
    <t>расчеты по формулам, заданным в соответствии с ГОСТ (для справки)</t>
  </si>
  <si>
    <t>Температурный режим в течение года:</t>
  </si>
  <si>
    <t>Режим</t>
  </si>
  <si>
    <r>
      <rPr>
        <rFont val="Calibri"/>
        <color theme="1"/>
        <sz val="11.0"/>
      </rPr>
      <t xml:space="preserve">Температура, </t>
    </r>
    <r>
      <rPr>
        <rFont val="Calibri"/>
        <color theme="1"/>
        <sz val="11.0"/>
      </rPr>
      <t>°С</t>
    </r>
  </si>
  <si>
    <t>Количество месяцев</t>
  </si>
  <si>
    <t>полипропилен рандомсополимер</t>
  </si>
  <si>
    <t>Режим Зима</t>
  </si>
  <si>
    <t>полипропилен рандомсополимер повышенной термостойкости с модифицированной кристалличностью</t>
  </si>
  <si>
    <t>Режим Весна, Осень</t>
  </si>
  <si>
    <t xml:space="preserve">полиэтилен повышенной термостойкости
</t>
  </si>
  <si>
    <t>Режим Лето</t>
  </si>
  <si>
    <t>сшитый полиэтилен</t>
  </si>
  <si>
    <t>ИТОГО</t>
  </si>
  <si>
    <t>полибутен</t>
  </si>
  <si>
    <t>Расчётные формулы из ГОСТ 32415-2013:</t>
  </si>
  <si>
    <t>A, %</t>
  </si>
  <si>
    <t>Режим Осень, Весна</t>
  </si>
  <si>
    <t>Высокотемпературное напольное отопление. Низкотемпературное отопление отопительными приборами</t>
  </si>
  <si>
    <t>Высокотемпературное отопление отопительными приборами</t>
  </si>
  <si>
    <t>- класс 4 - для PP-H, PP-B, PP-R, PP-RCT, PE-X, PB, PVC-C тип II, PE-RT тип I, PE-RT тип II;</t>
  </si>
  <si>
    <t>- класс 5 - для PP-H, PP-B, PP-R, PP-RCT, PE-X, PB, PVC-C тип II, PE-RT тип I, PE-RT тип II;</t>
  </si>
  <si>
    <t>4.3.3. Для классов эксплуатации 4 и/или 5 рабочее давление  выбирают из ряда 0,4; 0,6; 0,8 и 1,0 МПа.</t>
  </si>
  <si>
    <t>4.3.5. Трубы и фитинги для классов эксплуатации 4 и/или 5, должны быть пригодными для транспортирования холодной воды в течение 50 лет при температуре 20 °C и рабочем давлении 1,0 МПа.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</si>
</sst>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00"/>
    <numFmt numFmtId="166" formatCode="0.000000"/>
  </numFmts>
  <fonts count="5">
    <font>
      <sz val="11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theme="1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BFBFBF"/>
        <bgColor rgb="FFBFBFBF"/>
      </patternFill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/>
    </xf>
    <xf borderId="2" fillId="0" fontId="3" numFmtId="0" xfId="0" applyBorder="1" applyFont="1"/>
    <xf borderId="3" fillId="2" fontId="1" numFmtId="0" xfId="0" applyBorder="1" applyFill="1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2" numFmtId="0" xfId="0" applyFont="1"/>
    <xf borderId="4" fillId="0" fontId="3" numFmtId="0" xfId="0" applyBorder="1" applyFont="1"/>
    <xf borderId="5" fillId="0" fontId="2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3" fillId="0" fontId="2" numFmtId="0" xfId="0" applyAlignment="1" applyBorder="1" applyFont="1">
      <alignment shrinkToFit="0" wrapText="1"/>
    </xf>
    <xf borderId="3" fillId="0" fontId="2" numFmtId="0" xfId="0" applyBorder="1" applyFont="1"/>
    <xf borderId="3" fillId="0" fontId="2" numFmtId="0" xfId="0" applyAlignment="1" applyBorder="1" applyFont="1">
      <alignment horizontal="center"/>
    </xf>
    <xf borderId="3" fillId="2" fontId="2" numFmtId="0" xfId="0" applyBorder="1" applyFont="1"/>
    <xf borderId="3" fillId="0" fontId="2" numFmtId="164" xfId="0" applyBorder="1" applyFont="1" applyNumberFormat="1"/>
    <xf borderId="3" fillId="0" fontId="2" numFmtId="164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shrinkToFit="0" vertical="center" wrapText="1"/>
    </xf>
    <xf borderId="12" fillId="0" fontId="4" numFmtId="0" xfId="0" applyAlignment="1" applyBorder="1" applyFont="1">
      <alignment horizontal="left" shrinkToFit="0" vertical="center" wrapText="1"/>
    </xf>
    <xf borderId="13" fillId="0" fontId="3" numFmtId="0" xfId="0" applyBorder="1" applyFont="1"/>
    <xf borderId="9" fillId="0" fontId="3" numFmtId="0" xfId="0" applyBorder="1" applyFont="1"/>
    <xf borderId="14" fillId="0" fontId="4" numFmtId="0" xfId="0" applyAlignment="1" applyBorder="1" applyFont="1">
      <alignment horizontal="left" shrinkToFit="0" vertical="center" wrapText="1"/>
    </xf>
    <xf borderId="15" fillId="0" fontId="3" numFmtId="0" xfId="0" applyBorder="1" applyFont="1"/>
    <xf borderId="16" fillId="0" fontId="4" numFmtId="0" xfId="0" applyAlignment="1" applyBorder="1" applyFont="1">
      <alignment horizontal="left" shrinkToFit="0" vertical="center" wrapText="1"/>
    </xf>
    <xf borderId="17" fillId="0" fontId="3" numFmtId="0" xfId="0" applyBorder="1" applyFont="1"/>
    <xf borderId="11" fillId="0" fontId="3" numFmtId="0" xfId="0" applyBorder="1" applyFont="1"/>
    <xf borderId="1" fillId="0" fontId="2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horizontal="center" vertical="center"/>
    </xf>
    <xf borderId="3" fillId="3" fontId="2" numFmtId="0" xfId="0" applyBorder="1" applyFill="1" applyFont="1"/>
    <xf borderId="3" fillId="4" fontId="2" numFmtId="0" xfId="0" applyBorder="1" applyFill="1" applyFont="1"/>
    <xf borderId="3" fillId="5" fontId="2" numFmtId="0" xfId="0" applyBorder="1" applyFill="1" applyFont="1"/>
    <xf borderId="0" fillId="0" fontId="2" numFmtId="0" xfId="0" applyAlignment="1" applyFont="1">
      <alignment horizontal="center" vertical="center"/>
    </xf>
    <xf borderId="3" fillId="2" fontId="2" numFmtId="0" xfId="0" applyAlignment="1" applyBorder="1" applyFont="1">
      <alignment horizontal="center"/>
    </xf>
    <xf borderId="3" fillId="3" fontId="2" numFmtId="0" xfId="0" applyAlignment="1" applyBorder="1" applyFont="1">
      <alignment horizontal="center"/>
    </xf>
    <xf borderId="3" fillId="6" fontId="2" numFmtId="0" xfId="0" applyAlignment="1" applyBorder="1" applyFill="1" applyFont="1">
      <alignment horizontal="center" vertical="center"/>
    </xf>
    <xf borderId="3" fillId="3" fontId="2" numFmtId="0" xfId="0" applyAlignment="1" applyBorder="1" applyFont="1">
      <alignment horizontal="center" vertical="center"/>
    </xf>
    <xf borderId="3" fillId="3" fontId="2" numFmtId="164" xfId="0" applyAlignment="1" applyBorder="1" applyFont="1" applyNumberFormat="1">
      <alignment horizontal="center" vertical="center"/>
    </xf>
    <xf borderId="3" fillId="4" fontId="2" numFmtId="164" xfId="0" applyAlignment="1" applyBorder="1" applyFont="1" applyNumberFormat="1">
      <alignment horizontal="center"/>
    </xf>
    <xf borderId="3" fillId="4" fontId="2" numFmtId="165" xfId="0" applyAlignment="1" applyBorder="1" applyFont="1" applyNumberFormat="1">
      <alignment horizontal="center"/>
    </xf>
    <xf borderId="3" fillId="4" fontId="2" numFmtId="166" xfId="0" applyAlignment="1" applyBorder="1" applyFont="1" applyNumberFormat="1">
      <alignment horizontal="center"/>
    </xf>
    <xf borderId="1" fillId="5" fontId="2" numFmtId="0" xfId="0" applyAlignment="1" applyBorder="1" applyFont="1">
      <alignment horizontal="center"/>
    </xf>
    <xf borderId="3" fillId="5" fontId="2" numFmtId="165" xfId="0" applyAlignment="1" applyBorder="1" applyFont="1" applyNumberFormat="1">
      <alignment horizontal="center"/>
    </xf>
    <xf borderId="3" fillId="5" fontId="2" numFmtId="0" xfId="0" applyAlignment="1" applyBorder="1" applyFont="1">
      <alignment horizontal="center"/>
    </xf>
    <xf borderId="3" fillId="5" fontId="2" numFmtId="164" xfId="0" applyBorder="1" applyFont="1" applyNumberFormat="1"/>
    <xf borderId="18" fillId="5" fontId="2" numFmtId="0" xfId="0" applyBorder="1" applyFont="1"/>
    <xf borderId="15" fillId="0" fontId="4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shrinkToFit="0" vertical="center" wrapText="1"/>
    </xf>
    <xf borderId="19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3.png"/><Relationship Id="rId3" Type="http://schemas.openxmlformats.org/officeDocument/2006/relationships/image" Target="../media/image1.png"/><Relationship Id="rId4" Type="http://schemas.openxmlformats.org/officeDocument/2006/relationships/image" Target="../media/image9.png"/><Relationship Id="rId5" Type="http://schemas.openxmlformats.org/officeDocument/2006/relationships/image" Target="../media/image2.png"/><Relationship Id="rId6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6.png"/><Relationship Id="rId3" Type="http://schemas.openxmlformats.org/officeDocument/2006/relationships/image" Target="../media/image3.png"/><Relationship Id="rId4" Type="http://schemas.openxmlformats.org/officeDocument/2006/relationships/image" Target="../media/image8.png"/><Relationship Id="rId9" Type="http://schemas.openxmlformats.org/officeDocument/2006/relationships/image" Target="../media/image4.png"/><Relationship Id="rId5" Type="http://schemas.openxmlformats.org/officeDocument/2006/relationships/image" Target="../media/image1.png"/><Relationship Id="rId6" Type="http://schemas.openxmlformats.org/officeDocument/2006/relationships/image" Target="../media/image5.png"/><Relationship Id="rId7" Type="http://schemas.openxmlformats.org/officeDocument/2006/relationships/image" Target="../media/image9.png"/><Relationship Id="rId8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6.png"/><Relationship Id="rId3" Type="http://schemas.openxmlformats.org/officeDocument/2006/relationships/image" Target="../media/image3.png"/><Relationship Id="rId4" Type="http://schemas.openxmlformats.org/officeDocument/2006/relationships/image" Target="../media/image8.png"/><Relationship Id="rId5" Type="http://schemas.openxmlformats.org/officeDocument/2006/relationships/image" Target="../media/image1.png"/><Relationship Id="rId6" Type="http://schemas.openxmlformats.org/officeDocument/2006/relationships/image" Target="../media/image5.png"/><Relationship Id="rId7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40</xdr:row>
      <xdr:rowOff>0</xdr:rowOff>
    </xdr:from>
    <xdr:ext cx="247650" cy="247650"/>
    <xdr:pic>
      <xdr:nvPicPr>
        <xdr:cNvPr descr="base_44_18076_32828"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</xdr:row>
      <xdr:rowOff>0</xdr:rowOff>
    </xdr:from>
    <xdr:ext cx="247650" cy="247650"/>
    <xdr:pic>
      <xdr:nvPicPr>
        <xdr:cNvPr descr="base_44_18076_32829"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40</xdr:row>
      <xdr:rowOff>0</xdr:rowOff>
    </xdr:from>
    <xdr:ext cx="323850" cy="247650"/>
    <xdr:pic>
      <xdr:nvPicPr>
        <xdr:cNvPr descr="base_44_18076_32830"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323850" cy="247650"/>
    <xdr:pic>
      <xdr:nvPicPr>
        <xdr:cNvPr descr="base_44_18076_32831"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40</xdr:row>
      <xdr:rowOff>0</xdr:rowOff>
    </xdr:from>
    <xdr:ext cx="304800" cy="247650"/>
    <xdr:pic>
      <xdr:nvPicPr>
        <xdr:cNvPr descr="base_44_18076_32832"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41</xdr:row>
      <xdr:rowOff>0</xdr:rowOff>
    </xdr:from>
    <xdr:ext cx="304800" cy="247650"/>
    <xdr:pic>
      <xdr:nvPicPr>
        <xdr:cNvPr descr="base_44_18076_32833"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247650" cy="257175"/>
    <xdr:pic>
      <xdr:nvPicPr>
        <xdr:cNvPr descr="base_44_18076_32834" id="0" name="image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323850" cy="257175"/>
    <xdr:pic>
      <xdr:nvPicPr>
        <xdr:cNvPr descr="base_44_18076_32835" id="0" name="image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314325" cy="247650"/>
    <xdr:pic>
      <xdr:nvPicPr>
        <xdr:cNvPr descr="base_44_18076_32836" id="0" name="image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38</xdr:row>
      <xdr:rowOff>0</xdr:rowOff>
    </xdr:from>
    <xdr:ext cx="247650" cy="247650"/>
    <xdr:pic>
      <xdr:nvPicPr>
        <xdr:cNvPr descr="base_44_18076_32828"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</xdr:row>
      <xdr:rowOff>0</xdr:rowOff>
    </xdr:from>
    <xdr:ext cx="247650" cy="200025"/>
    <xdr:pic>
      <xdr:nvPicPr>
        <xdr:cNvPr descr="base_44_18076_32829"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323850" cy="247650"/>
    <xdr:pic>
      <xdr:nvPicPr>
        <xdr:cNvPr descr="base_44_18076_32830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39</xdr:row>
      <xdr:rowOff>0</xdr:rowOff>
    </xdr:from>
    <xdr:ext cx="323850" cy="200025"/>
    <xdr:pic>
      <xdr:nvPicPr>
        <xdr:cNvPr descr="base_44_18076_32831" id="0" name="image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38</xdr:row>
      <xdr:rowOff>0</xdr:rowOff>
    </xdr:from>
    <xdr:ext cx="304800" cy="247650"/>
    <xdr:pic>
      <xdr:nvPicPr>
        <xdr:cNvPr descr="base_44_18076_32832" id="0" name="image1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39</xdr:row>
      <xdr:rowOff>0</xdr:rowOff>
    </xdr:from>
    <xdr:ext cx="304800" cy="200025"/>
    <xdr:pic>
      <xdr:nvPicPr>
        <xdr:cNvPr descr="base_44_18076_32833" id="0" name="image5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247650" cy="257175"/>
    <xdr:pic>
      <xdr:nvPicPr>
        <xdr:cNvPr descr="base_44_18076_32834" id="0" name="image9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323850" cy="257175"/>
    <xdr:pic>
      <xdr:nvPicPr>
        <xdr:cNvPr descr="base_44_18076_32835" id="0" name="image2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314325" cy="247650"/>
    <xdr:pic>
      <xdr:nvPicPr>
        <xdr:cNvPr descr="base_44_18076_32836" id="0" name="image4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76</xdr:row>
      <xdr:rowOff>0</xdr:rowOff>
    </xdr:from>
    <xdr:ext cx="247650" cy="247650"/>
    <xdr:pic>
      <xdr:nvPicPr>
        <xdr:cNvPr descr="base_44_18076_32828"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77</xdr:row>
      <xdr:rowOff>0</xdr:rowOff>
    </xdr:from>
    <xdr:ext cx="247650" cy="200025"/>
    <xdr:pic>
      <xdr:nvPicPr>
        <xdr:cNvPr descr="base_44_18076_32829"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76</xdr:row>
      <xdr:rowOff>0</xdr:rowOff>
    </xdr:from>
    <xdr:ext cx="323850" cy="247650"/>
    <xdr:pic>
      <xdr:nvPicPr>
        <xdr:cNvPr descr="base_44_18076_32830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323850" cy="200025"/>
    <xdr:pic>
      <xdr:nvPicPr>
        <xdr:cNvPr descr="base_44_18076_32831" id="0" name="image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76</xdr:row>
      <xdr:rowOff>0</xdr:rowOff>
    </xdr:from>
    <xdr:ext cx="304800" cy="247650"/>
    <xdr:pic>
      <xdr:nvPicPr>
        <xdr:cNvPr descr="base_44_18076_32832" id="0" name="image1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77</xdr:row>
      <xdr:rowOff>0</xdr:rowOff>
    </xdr:from>
    <xdr:ext cx="304800" cy="200025"/>
    <xdr:pic>
      <xdr:nvPicPr>
        <xdr:cNvPr descr="base_44_18076_32833" id="0" name="image5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</xdr:row>
      <xdr:rowOff>0</xdr:rowOff>
    </xdr:from>
    <xdr:ext cx="247650" cy="247650"/>
    <xdr:pic>
      <xdr:nvPicPr>
        <xdr:cNvPr descr="base_44_18076_32834"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</xdr:row>
      <xdr:rowOff>0</xdr:rowOff>
    </xdr:from>
    <xdr:ext cx="323850" cy="247650"/>
    <xdr:pic>
      <xdr:nvPicPr>
        <xdr:cNvPr descr="base_44_18076_32835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</xdr:row>
      <xdr:rowOff>0</xdr:rowOff>
    </xdr:from>
    <xdr:ext cx="314325" cy="247650"/>
    <xdr:pic>
      <xdr:nvPicPr>
        <xdr:cNvPr descr="base_44_18076_32836" id="0" name="image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25"/>
    <col customWidth="1" min="2" max="2" width="11.0"/>
    <col customWidth="1" min="3" max="3" width="6.63"/>
    <col customWidth="1" min="4" max="4" width="16.0"/>
    <col customWidth="1" min="5" max="5" width="11.38"/>
    <col customWidth="1" min="6" max="6" width="13.38"/>
    <col customWidth="1" min="7" max="7" width="21.75"/>
    <col customWidth="1" min="8" max="8" width="25.38"/>
    <col customWidth="1" min="9" max="9" width="11.0"/>
    <col customWidth="1" min="10" max="26" width="6.63"/>
  </cols>
  <sheetData>
    <row r="1">
      <c r="A1" s="1" t="s">
        <v>0</v>
      </c>
    </row>
    <row r="3">
      <c r="A3" s="2" t="s">
        <v>1</v>
      </c>
      <c r="B3" s="3"/>
      <c r="C3" s="4">
        <v>75.0</v>
      </c>
    </row>
    <row r="4">
      <c r="A4" s="2" t="s">
        <v>2</v>
      </c>
      <c r="B4" s="3"/>
      <c r="C4" s="4">
        <v>10.0</v>
      </c>
    </row>
    <row r="5">
      <c r="A5" s="2" t="s">
        <v>3</v>
      </c>
      <c r="B5" s="3"/>
      <c r="C5" s="4">
        <v>70.0</v>
      </c>
    </row>
    <row r="6">
      <c r="D6" s="5"/>
      <c r="E6" s="5"/>
      <c r="F6" s="1"/>
    </row>
    <row r="7">
      <c r="A7" s="6" t="s">
        <v>4</v>
      </c>
      <c r="E7" s="5"/>
      <c r="F7" s="1"/>
    </row>
    <row r="8">
      <c r="A8" s="6"/>
      <c r="E8" s="5"/>
      <c r="F8" s="1"/>
    </row>
    <row r="9">
      <c r="A9" s="7" t="s">
        <v>5</v>
      </c>
      <c r="E9" s="5"/>
      <c r="F9" s="1"/>
    </row>
    <row r="10">
      <c r="D10" s="8"/>
      <c r="E10" s="1"/>
      <c r="F10" s="8"/>
      <c r="G10" s="8"/>
      <c r="H10" s="8"/>
      <c r="I10" s="8"/>
      <c r="J10" s="8"/>
    </row>
    <row r="11">
      <c r="A11" s="2" t="s">
        <v>6</v>
      </c>
      <c r="B11" s="9"/>
      <c r="C11" s="3"/>
      <c r="D11" s="10" t="s">
        <v>7</v>
      </c>
      <c r="E11" s="11"/>
      <c r="F11" s="11"/>
      <c r="G11" s="11"/>
      <c r="H11" s="12"/>
      <c r="I11" s="8"/>
      <c r="J11" s="8"/>
    </row>
    <row r="12">
      <c r="A12" s="13" t="s">
        <v>8</v>
      </c>
      <c r="B12" s="13" t="s">
        <v>9</v>
      </c>
      <c r="C12" s="14" t="s">
        <v>10</v>
      </c>
      <c r="D12" s="15" t="s">
        <v>11</v>
      </c>
      <c r="E12" s="15" t="s">
        <v>12</v>
      </c>
      <c r="F12" s="15" t="s">
        <v>13</v>
      </c>
      <c r="G12" s="15" t="s">
        <v>14</v>
      </c>
      <c r="H12" s="15" t="s">
        <v>15</v>
      </c>
      <c r="I12" s="8"/>
      <c r="J12" s="8"/>
    </row>
    <row r="13">
      <c r="A13" s="16">
        <f t="shared" ref="A13:A19" si="2">$C$3</f>
        <v>75</v>
      </c>
      <c r="B13" s="17">
        <f t="shared" ref="B13:B19" si="3">CEILING((A13/C13),0.1)</f>
        <v>12.5</v>
      </c>
      <c r="C13" s="14">
        <v>6.0</v>
      </c>
      <c r="D13" s="18">
        <f t="shared" ref="D13:H13" si="1">IF(MIN(D28:D29)&gt;50,50,(MIN(D28:D29)))</f>
        <v>26.4859322</v>
      </c>
      <c r="E13" s="18">
        <f t="shared" si="1"/>
        <v>50</v>
      </c>
      <c r="F13" s="18">
        <f t="shared" si="1"/>
        <v>50</v>
      </c>
      <c r="G13" s="18">
        <f t="shared" si="1"/>
        <v>50</v>
      </c>
      <c r="H13" s="18">
        <f t="shared" si="1"/>
        <v>50</v>
      </c>
      <c r="I13" s="8"/>
      <c r="J13" s="8"/>
    </row>
    <row r="14" hidden="1">
      <c r="A14" s="16">
        <f t="shared" si="2"/>
        <v>75</v>
      </c>
      <c r="B14" s="17" t="str">
        <f t="shared" si="3"/>
        <v>#DIV/0!</v>
      </c>
      <c r="C14" s="14"/>
      <c r="D14" s="18">
        <f t="shared" ref="D14:H14" si="4">IF(MIN(D29:D30)&gt;50,50,(MIN(D29:D30)))</f>
        <v>1.495831442</v>
      </c>
      <c r="E14" s="18">
        <f t="shared" si="4"/>
        <v>50</v>
      </c>
      <c r="F14" s="18">
        <f t="shared" si="4"/>
        <v>50</v>
      </c>
      <c r="G14" s="18">
        <f t="shared" si="4"/>
        <v>50</v>
      </c>
      <c r="H14" s="18">
        <f t="shared" si="4"/>
        <v>50</v>
      </c>
      <c r="I14" s="8"/>
      <c r="J14" s="8"/>
    </row>
    <row r="15">
      <c r="A15" s="16">
        <f t="shared" si="2"/>
        <v>75</v>
      </c>
      <c r="B15" s="17">
        <f t="shared" si="3"/>
        <v>10.2</v>
      </c>
      <c r="C15" s="14">
        <v>7.4</v>
      </c>
      <c r="D15" s="18">
        <f t="shared" ref="D15:H15" si="5">IF(MIN(D30:D31)&gt;50,50,(MIN(D30:D31)))</f>
        <v>1.495831442</v>
      </c>
      <c r="E15" s="18">
        <f t="shared" si="5"/>
        <v>50</v>
      </c>
      <c r="F15" s="18">
        <f t="shared" si="5"/>
        <v>50</v>
      </c>
      <c r="G15" s="18">
        <f t="shared" si="5"/>
        <v>50</v>
      </c>
      <c r="H15" s="18">
        <f t="shared" si="5"/>
        <v>50</v>
      </c>
      <c r="I15" s="8"/>
      <c r="J15" s="8"/>
    </row>
    <row r="16" hidden="1">
      <c r="A16" s="16">
        <f t="shared" si="2"/>
        <v>75</v>
      </c>
      <c r="B16" s="17" t="str">
        <f t="shared" si="3"/>
        <v>#DIV/0!</v>
      </c>
      <c r="C16" s="14"/>
      <c r="D16" s="18">
        <f t="shared" ref="D16:H16" si="6">IF(MIN(D31:D32)&gt;50,50,(MIN(D31:D32)))</f>
        <v>0.01305283136</v>
      </c>
      <c r="E16" s="18">
        <f t="shared" si="6"/>
        <v>0.1178598184</v>
      </c>
      <c r="F16" s="18">
        <f t="shared" si="6"/>
        <v>0.003758412568</v>
      </c>
      <c r="G16" s="18">
        <f t="shared" si="6"/>
        <v>0.004460226724</v>
      </c>
      <c r="H16" s="18">
        <f t="shared" si="6"/>
        <v>50</v>
      </c>
      <c r="I16" s="8"/>
      <c r="J16" s="8"/>
    </row>
    <row r="17">
      <c r="A17" s="16">
        <f t="shared" si="2"/>
        <v>75</v>
      </c>
      <c r="B17" s="17">
        <f t="shared" si="3"/>
        <v>8.4</v>
      </c>
      <c r="C17" s="14">
        <v>9.0</v>
      </c>
      <c r="D17" s="18">
        <f t="shared" ref="D17:H17" si="7">IF(MIN(D32:D33)&gt;50,50,(MIN(D32:D33)))</f>
        <v>0.01305283136</v>
      </c>
      <c r="E17" s="18">
        <f t="shared" si="7"/>
        <v>0.1178598184</v>
      </c>
      <c r="F17" s="18">
        <f t="shared" si="7"/>
        <v>0.003758412568</v>
      </c>
      <c r="G17" s="18">
        <f t="shared" si="7"/>
        <v>0.004460226724</v>
      </c>
      <c r="H17" s="18">
        <f t="shared" si="7"/>
        <v>50</v>
      </c>
      <c r="I17" s="8"/>
      <c r="J17" s="8"/>
    </row>
    <row r="18" hidden="1">
      <c r="A18" s="16">
        <f t="shared" si="2"/>
        <v>75</v>
      </c>
      <c r="B18" s="17" t="str">
        <f t="shared" si="3"/>
        <v>#DIV/0!</v>
      </c>
      <c r="C18" s="14"/>
      <c r="D18" s="18">
        <f t="shared" ref="D18:H18" si="8">IF(MIN(D33:D34)&gt;50,50,(MIN(D33:D34)))</f>
        <v>0.0001139008058</v>
      </c>
      <c r="E18" s="18">
        <f t="shared" si="8"/>
        <v>0.0000250305122</v>
      </c>
      <c r="F18" s="18">
        <f t="shared" si="8"/>
        <v>0.00000001392853821</v>
      </c>
      <c r="G18" s="18">
        <f t="shared" si="8"/>
        <v>0.0000000001046262776</v>
      </c>
      <c r="H18" s="18">
        <f t="shared" si="8"/>
        <v>50</v>
      </c>
      <c r="I18" s="8"/>
      <c r="J18" s="8"/>
    </row>
    <row r="19">
      <c r="A19" s="16">
        <f t="shared" si="2"/>
        <v>75</v>
      </c>
      <c r="B19" s="17">
        <f t="shared" si="3"/>
        <v>6.9</v>
      </c>
      <c r="C19" s="14">
        <v>11.0</v>
      </c>
      <c r="D19" s="18">
        <f t="shared" ref="D19:H19" si="9">IF(MIN(D34:D35)&gt;50,50,(MIN(D34:D35)))</f>
        <v>0.0001139008058</v>
      </c>
      <c r="E19" s="18">
        <f t="shared" si="9"/>
        <v>0.0000250305122</v>
      </c>
      <c r="F19" s="18">
        <f t="shared" si="9"/>
        <v>0.00000001392853821</v>
      </c>
      <c r="G19" s="18">
        <f t="shared" si="9"/>
        <v>0.0000000001046262776</v>
      </c>
      <c r="H19" s="18">
        <f t="shared" si="9"/>
        <v>50</v>
      </c>
      <c r="I19" s="8"/>
      <c r="J19" s="8"/>
    </row>
    <row r="20">
      <c r="A20" s="19" t="s">
        <v>16</v>
      </c>
      <c r="B20" s="9"/>
      <c r="C20" s="3"/>
      <c r="D20" s="20" t="s">
        <v>17</v>
      </c>
      <c r="E20" s="20" t="s">
        <v>17</v>
      </c>
      <c r="F20" s="20" t="s">
        <v>18</v>
      </c>
      <c r="G20" s="20" t="s">
        <v>18</v>
      </c>
      <c r="H20" s="20" t="s">
        <v>17</v>
      </c>
      <c r="I20" s="8"/>
      <c r="J20" s="8"/>
    </row>
    <row r="21" ht="15.75" customHeight="1">
      <c r="D21" s="8"/>
      <c r="E21" s="1"/>
      <c r="F21" s="8"/>
      <c r="G21" s="8"/>
      <c r="H21" s="8"/>
      <c r="I21" s="8"/>
      <c r="J21" s="8"/>
    </row>
    <row r="22" ht="15.75" customHeight="1">
      <c r="D22" s="8"/>
      <c r="E22" s="1"/>
      <c r="F22" s="8"/>
      <c r="G22" s="8"/>
      <c r="H22" s="8"/>
      <c r="I22" s="8"/>
      <c r="J22" s="8"/>
    </row>
    <row r="23" ht="15.75" customHeight="1">
      <c r="D23" s="8"/>
      <c r="E23" s="1"/>
      <c r="F23" s="8"/>
      <c r="G23" s="8"/>
      <c r="H23" s="8"/>
      <c r="I23" s="8"/>
      <c r="J23" s="8"/>
    </row>
    <row r="24" ht="15.75" customHeight="1">
      <c r="D24" s="8"/>
      <c r="E24" s="1"/>
      <c r="F24" s="8"/>
      <c r="G24" s="8"/>
      <c r="H24" s="8"/>
      <c r="I24" s="8"/>
      <c r="J24" s="8"/>
    </row>
    <row r="25" ht="15.75" customHeight="1">
      <c r="D25" s="8"/>
      <c r="E25" s="1"/>
      <c r="F25" s="8"/>
      <c r="G25" s="8"/>
      <c r="H25" s="8"/>
      <c r="I25" s="8"/>
      <c r="J25" s="8"/>
    </row>
    <row r="26" ht="15.75" customHeight="1">
      <c r="D26" s="1" t="s">
        <v>19</v>
      </c>
      <c r="E26" s="1"/>
      <c r="F26" s="8"/>
      <c r="G26" s="8"/>
      <c r="H26" s="8"/>
      <c r="I26" s="8"/>
      <c r="J26" s="8"/>
    </row>
    <row r="27" ht="15.75" customHeight="1">
      <c r="C27" s="8" t="s">
        <v>10</v>
      </c>
    </row>
    <row r="28" ht="15.75" customHeight="1">
      <c r="C28" s="15">
        <v>6.0</v>
      </c>
      <c r="D28" s="17">
        <f>10^(-55.725-(9484.1/($C$5+273.15))*LOG10($C$4/10*1.5*(C13-1)/2)+25502.2/($C$5+273.15)+6.39*LOG10($C$4/10*1.5*(C13-1)/2))/365.25/24</f>
        <v>283.7381142</v>
      </c>
      <c r="E28" s="17">
        <f>10^(-119.546-23738.797/($C$5+273.15)*LOG10($C$4/10*1.5*(C13-1)/2)+52176.696/($C$5+273.15)+31.279*LOG10($C$4/10*1.5*(C13-1)/2))/365.25/24</f>
        <v>6419879.564</v>
      </c>
      <c r="F28" s="17">
        <f>10^(-219-(62600.752/($C$5+273.15))*LOG10($C$4/10*1.5*(C13-1)/2)+90635.353/($C$5+273.15)+126.387*LOG10($C$4/10*1.5*(C13-1)/2))/365.25/24</f>
        <v>1033807476</v>
      </c>
      <c r="G28" s="17">
        <f>10^(-105.8618-(18506.15/($C$5+273.15))*LOG10($C$4/10*1.5*(C13-1)/2)+57895.49/($C$5+273.15)-24.7997*LOG10($C$4/10*1.5*(C13-1)/2))/365.25/24</f>
        <v>52444973504678</v>
      </c>
      <c r="H28" s="17">
        <f>10^(-430.866-(125010/($C$5+273.15))*LOG10($C$4/10*1.5*(C13-1)/2)+173892.7/($C$5+273.15)+290.0569*LOG10($C$4/10*1.5*(C13-1)/2))/365.25/24</f>
        <v>2.1221E+29</v>
      </c>
      <c r="I28" s="8" t="s">
        <v>20</v>
      </c>
    </row>
    <row r="29" ht="15.75" customHeight="1">
      <c r="C29" s="15"/>
      <c r="D29" s="17">
        <f>10^(-19.98+9507/($C$5+273.15)-4.11*LOG10($C$4/10*1.5*(C13-1)/2))/365.25/24</f>
        <v>26.4859322</v>
      </c>
      <c r="E29" s="17"/>
      <c r="F29" s="17"/>
      <c r="G29" s="17"/>
      <c r="H29" s="17">
        <f>10^(-129.895-(37262.7/($C$5+273.15))*LOG10($C$4/10*1.5*(C13-1)/2)+52556.48/($C$5+273.15)+88.56735*LOG10($C$4/10*1.5*(C13-1)/2))/365.25/24</f>
        <v>67206618.76</v>
      </c>
      <c r="I29" s="8" t="s">
        <v>21</v>
      </c>
    </row>
    <row r="30" ht="15.75" customHeight="1">
      <c r="C30" s="15">
        <v>7.4</v>
      </c>
      <c r="D30" s="17">
        <f>10^(-55.725-(9484.1/($C$5+273.15))*LOG10($C$4/10*1.5*(C15-1)/2)+25502.2/($C$5+273.15)+6.39*LOG10($C$4/10*1.5*(C15-1)/2))/365.25/24</f>
        <v>1.495831442</v>
      </c>
      <c r="E30" s="17">
        <f>10^(-119.546-23738.797/($C$5+273.15)*LOG10($C$4/10*1.5*(C15-1)/2)+52176.696/($C$5+273.15)+31.279*LOG10($C$4/10*1.5*(C15-1)/2))/365.25/24</f>
        <v>554.9601495</v>
      </c>
      <c r="F30" s="17">
        <f>10^(-219-(62600.752/($C$5+273.15))*LOG10($C$4/10*1.5*(C15-1)/2)+90635.353/($C$5+273.15)+126.387*LOG10($C$4/10*1.5*(C15-1)/2))/365.25/24</f>
        <v>1014.152728</v>
      </c>
      <c r="G30" s="17">
        <f>10^(-105.8618-(18506.15/($C$5+273.15))*LOG10($C$4/10*1.5*(C15-1)/2)+57895.49/($C$5+273.15)-24.7997*LOG10($C$4/10*1.5*(C15-1)/2))/365.25/24</f>
        <v>190139.828</v>
      </c>
      <c r="H30" s="17">
        <f>10^(-430.866-(125010/($C$5+273.15))*LOG10($C$4/10*1.5*(C15-1)/2)+173892.7/($C$5+273.15)+290.0569*LOG10($C$4/10*1.5*(C15-1)/2))/365.25/24</f>
        <v>2.32821E+21</v>
      </c>
      <c r="I30" s="8" t="s">
        <v>20</v>
      </c>
    </row>
    <row r="31" ht="15.75" customHeight="1">
      <c r="C31" s="15"/>
      <c r="D31" s="17">
        <f>10^(-19.98+9507/($C$5+273.15)-4.11*LOG10($C$4/10*1.5*(C15-1)/2))/365.25/24</f>
        <v>9.602455158</v>
      </c>
      <c r="H31" s="17">
        <f>10^(-129.895-(37262.7/($C$5+273.15))*LOG10($C$4/10*1.5*(C15-1)/2)+52556.48/($C$5+273.15)+88.56735*LOG10($C$4/10*1.5*(C15-1)/2))/365.25/24</f>
        <v>479480.977</v>
      </c>
      <c r="I31" s="8" t="s">
        <v>21</v>
      </c>
    </row>
    <row r="32" ht="15.75" customHeight="1">
      <c r="C32" s="15">
        <v>9.0</v>
      </c>
      <c r="D32" s="17">
        <f>10^(-55.725-(9484.1/($C$5+273.15))*LOG10($C$4/10*1.5*(C17-1)/2)+25502.2/($C$5+273.15)+6.39*LOG10($C$4/10*1.5*(C17-1)/2))/365.25/24</f>
        <v>0.01305283136</v>
      </c>
      <c r="E32" s="17">
        <f>10^(-119.546-23738.797/($C$5+273.15)*LOG10($C$4/10*1.5*(C17-1)/2)+52176.696/($C$5+273.15)+31.279*LOG10($C$4/10*1.5*(C17-1)/2))/365.25/24</f>
        <v>0.1178598184</v>
      </c>
      <c r="F32" s="17">
        <f>10^(-219-(62600.752/($C$5+273.15))*LOG10($C$4/10*1.5*(C17-1)/2)+90635.353/($C$5+273.15)+126.387*LOG10($C$4/10*1.5*(C17-1)/2))/365.25/24</f>
        <v>0.003758412568</v>
      </c>
      <c r="G32" s="17">
        <f>10^(-105.8618-(18506.15/($C$5+273.15))*LOG10($C$4/10*1.5*(C17-1)/2)+57895.49/($C$5+273.15)-24.7997*LOG10($C$4/10*1.5*(C17-1)/2))/365.25/24</f>
        <v>0.004460226724</v>
      </c>
      <c r="H32" s="17">
        <f>10^(-430.866-(125010/($C$5+273.15))*LOG10($C$4/10*1.5*(C17-1)/2)+173892.7/($C$5+273.15)+290.0569*LOG10($C$4/10*1.5*(C17-1)/2))/365.25/24</f>
        <v>148591776922495</v>
      </c>
      <c r="I32" s="8" t="s">
        <v>20</v>
      </c>
    </row>
    <row r="33" ht="15.75" customHeight="1">
      <c r="C33" s="15"/>
      <c r="D33" s="17">
        <f>10^(-19.98+9507/($C$5+273.15)-4.11*LOG10($C$4/10*1.5*(C17-1)/2))/365.25/24</f>
        <v>3.837798195</v>
      </c>
      <c r="H33" s="17">
        <f>10^(-129.895-(37262.7/($C$5+273.15))*LOG10($C$4/10*1.5*(C17-1)/2)+52556.48/($C$5+273.15)+88.56735*LOG10($C$4/10*1.5*(C17-1)/2))/365.25/24</f>
        <v>5500.021529</v>
      </c>
      <c r="I33" s="8" t="s">
        <v>21</v>
      </c>
    </row>
    <row r="34" ht="15.75" customHeight="1">
      <c r="C34" s="15">
        <v>11.0</v>
      </c>
      <c r="D34" s="17">
        <f>10^(-55.725-(9484.1/($C$5+273.15))*LOG10($C$4/10*1.5*(C19-1)/2)+25502.2/($C$5+273.15)+6.39*LOG10($C$4/10*1.5*(C19-1)/2))/365.25/24</f>
        <v>0.0001139008058</v>
      </c>
      <c r="E34" s="17">
        <f>10^(-119.546-23738.797/($C$5+273.15)*LOG10($C$4/10*1.5*(C19-1)/2)+52176.696/($C$5+273.15)+31.279*LOG10($C$4/10*1.5*(C19-1)/2))/365.25/24</f>
        <v>0.0000250305122</v>
      </c>
      <c r="F34" s="17">
        <f>10^(-219-(62600.752/($C$5+273.15))*LOG10($C$4/10*1.5*(C19-1)/2)+90635.353/($C$5+273.15)+126.387*LOG10($C$4/10*1.5*(C19-1)/2))/365.25/24</f>
        <v>0.00000001392853821</v>
      </c>
      <c r="G34" s="17">
        <f>10^(-105.8618-(18506.15/($C$5+273.15))*LOG10($C$4/10*1.5*(C19-1)/2)+57895.49/($C$5+273.15)-24.7997*LOG10($C$4/10*1.5*(C19-1)/2))/365.25/24</f>
        <v>0.0000000001046262776</v>
      </c>
      <c r="H34" s="17">
        <f>10^(-430.866-(125010/($C$5+273.15))*LOG10($C$4/10*1.5*(C19-1)/2)+173892.7/($C$5+273.15)+290.0569*LOG10($C$4/10*1.5*(C19-1)/2))/365.25/24</f>
        <v>9483452.899</v>
      </c>
      <c r="I34" s="8" t="s">
        <v>20</v>
      </c>
    </row>
    <row r="35" ht="15.75" customHeight="1">
      <c r="C35" s="15"/>
      <c r="D35" s="17">
        <f>10^(-19.98+9507/($C$5+273.15)-4.11*LOG10($C$4/10*1.5*(C19-1)/2))/365.25/24</f>
        <v>1.533846787</v>
      </c>
      <c r="H35" s="17">
        <f>10^(-129.895-(37262.7/($C$5+273.15))*LOG10($C$4/10*1.5*(C19-1)/2)+52556.48/($C$5+273.15)+88.56735*LOG10($C$4/10*1.5*(C19-1)/2))/365.25/24</f>
        <v>63.0895453</v>
      </c>
      <c r="I35" s="8" t="s">
        <v>21</v>
      </c>
    </row>
    <row r="36" ht="15.75" customHeight="1"/>
    <row r="37" ht="15.75" customHeight="1"/>
    <row r="38" ht="15.75" customHeight="1"/>
    <row r="39" ht="15.75" customHeight="1">
      <c r="B39" s="8" t="s">
        <v>22</v>
      </c>
    </row>
    <row r="40" ht="15.75" customHeight="1">
      <c r="B40" s="8" t="s">
        <v>23</v>
      </c>
    </row>
    <row r="41" ht="15.75" customHeight="1">
      <c r="B41" s="21" t="s">
        <v>24</v>
      </c>
      <c r="C41" s="21" t="s">
        <v>25</v>
      </c>
      <c r="D41" s="22" t="s">
        <v>26</v>
      </c>
      <c r="E41" s="21" t="s">
        <v>25</v>
      </c>
      <c r="F41" s="22" t="s">
        <v>26</v>
      </c>
      <c r="G41" s="21" t="s">
        <v>25</v>
      </c>
      <c r="H41" s="22" t="s">
        <v>26</v>
      </c>
      <c r="I41" s="21" t="s">
        <v>27</v>
      </c>
    </row>
    <row r="42" ht="15.75" customHeight="1">
      <c r="B42" s="23"/>
      <c r="C42" s="23"/>
      <c r="D42" s="24" t="s">
        <v>28</v>
      </c>
      <c r="E42" s="23"/>
      <c r="F42" s="24" t="s">
        <v>28</v>
      </c>
      <c r="G42" s="23"/>
      <c r="H42" s="24" t="s">
        <v>29</v>
      </c>
      <c r="I42" s="23"/>
    </row>
    <row r="43" ht="15.75" customHeight="1">
      <c r="B43" s="25">
        <v>1.0</v>
      </c>
      <c r="C43" s="24">
        <v>60.0</v>
      </c>
      <c r="D43" s="24">
        <v>49.0</v>
      </c>
      <c r="E43" s="24">
        <v>80.0</v>
      </c>
      <c r="F43" s="24">
        <v>1.0</v>
      </c>
      <c r="G43" s="24">
        <v>95.0</v>
      </c>
      <c r="H43" s="24">
        <v>100.0</v>
      </c>
      <c r="I43" s="26" t="s">
        <v>30</v>
      </c>
    </row>
    <row r="44" ht="15.75" customHeight="1">
      <c r="B44" s="25">
        <v>2.0</v>
      </c>
      <c r="C44" s="24">
        <v>70.0</v>
      </c>
      <c r="D44" s="24">
        <v>49.0</v>
      </c>
      <c r="E44" s="24">
        <v>80.0</v>
      </c>
      <c r="F44" s="24">
        <v>1.0</v>
      </c>
      <c r="G44" s="24">
        <v>95.0</v>
      </c>
      <c r="H44" s="24">
        <v>100.0</v>
      </c>
      <c r="I44" s="26" t="s">
        <v>31</v>
      </c>
    </row>
    <row r="45" ht="15.75" customHeight="1">
      <c r="B45" s="27" t="s">
        <v>32</v>
      </c>
      <c r="C45" s="28"/>
      <c r="D45" s="28"/>
      <c r="E45" s="28"/>
      <c r="F45" s="28"/>
      <c r="G45" s="28"/>
      <c r="H45" s="28"/>
      <c r="I45" s="29"/>
    </row>
    <row r="46" ht="15.75" customHeight="1">
      <c r="B46" s="30" t="s">
        <v>33</v>
      </c>
      <c r="I46" s="31"/>
    </row>
    <row r="47" ht="15.75" customHeight="1">
      <c r="B47" s="30" t="s">
        <v>34</v>
      </c>
      <c r="I47" s="31"/>
    </row>
    <row r="48" ht="15.75" customHeight="1">
      <c r="B48" s="32" t="s">
        <v>35</v>
      </c>
      <c r="C48" s="33"/>
      <c r="D48" s="33"/>
      <c r="E48" s="33"/>
      <c r="F48" s="33"/>
      <c r="G48" s="33"/>
      <c r="H48" s="33"/>
      <c r="I48" s="34"/>
    </row>
    <row r="49" ht="15.75" customHeight="1"/>
    <row r="50" ht="15.75" customHeight="1">
      <c r="B50" s="8" t="s">
        <v>36</v>
      </c>
    </row>
    <row r="51" ht="15.75" customHeight="1">
      <c r="B51" s="8" t="s">
        <v>37</v>
      </c>
    </row>
    <row r="52" ht="15.75" customHeight="1">
      <c r="B52" s="8" t="s">
        <v>38</v>
      </c>
    </row>
    <row r="53" ht="15.75" customHeight="1"/>
    <row r="54" ht="15.75" customHeight="1"/>
    <row r="55" ht="15.75" customHeight="1"/>
    <row r="56" ht="15.75" customHeight="1">
      <c r="B56" s="8" t="s">
        <v>39</v>
      </c>
    </row>
    <row r="57" ht="15.75" customHeight="1">
      <c r="B57" s="8" t="s">
        <v>40</v>
      </c>
    </row>
    <row r="58" ht="15.75" customHeight="1">
      <c r="B58" s="8" t="s">
        <v>41</v>
      </c>
    </row>
    <row r="59" ht="15.75" customHeight="1">
      <c r="B59" s="8" t="s">
        <v>42</v>
      </c>
    </row>
    <row r="60" ht="15.75" customHeight="1">
      <c r="B60" s="8" t="s">
        <v>43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41:C42"/>
    <mergeCell ref="E41:E42"/>
    <mergeCell ref="I41:I42"/>
    <mergeCell ref="B45:I45"/>
    <mergeCell ref="B46:I46"/>
    <mergeCell ref="B47:I47"/>
    <mergeCell ref="B48:I48"/>
    <mergeCell ref="A3:B3"/>
    <mergeCell ref="A4:B4"/>
    <mergeCell ref="A5:B5"/>
    <mergeCell ref="A11:C11"/>
    <mergeCell ref="D11:H11"/>
    <mergeCell ref="A20:C20"/>
    <mergeCell ref="B41:B42"/>
    <mergeCell ref="G41:G4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25"/>
    <col customWidth="1" min="2" max="2" width="11.0"/>
    <col customWidth="1" min="3" max="3" width="6.63"/>
    <col customWidth="1" min="4" max="4" width="16.0"/>
    <col customWidth="1" min="5" max="5" width="11.38"/>
    <col customWidth="1" min="6" max="6" width="13.38"/>
    <col customWidth="1" min="7" max="7" width="9.13"/>
    <col customWidth="1" min="8" max="8" width="11.5"/>
    <col customWidth="1" min="9" max="9" width="7.0"/>
    <col customWidth="1" min="10" max="10" width="11.88"/>
    <col customWidth="1" min="11" max="26" width="6.63"/>
  </cols>
  <sheetData>
    <row r="1">
      <c r="A1" s="1" t="s">
        <v>0</v>
      </c>
    </row>
    <row r="3">
      <c r="A3" s="2" t="s">
        <v>1</v>
      </c>
      <c r="B3" s="3"/>
      <c r="C3" s="4">
        <v>20.0</v>
      </c>
    </row>
    <row r="4">
      <c r="A4" s="2" t="s">
        <v>2</v>
      </c>
      <c r="B4" s="3"/>
      <c r="C4" s="4">
        <v>10.0</v>
      </c>
    </row>
    <row r="5">
      <c r="A5" s="5"/>
      <c r="C5" s="1"/>
    </row>
    <row r="6">
      <c r="D6" s="5"/>
      <c r="E6" s="5"/>
      <c r="F6" s="1"/>
    </row>
    <row r="7">
      <c r="A7" s="6" t="s">
        <v>4</v>
      </c>
      <c r="E7" s="5"/>
      <c r="F7" s="1"/>
    </row>
    <row r="8">
      <c r="A8" s="6"/>
      <c r="E8" s="5"/>
      <c r="F8" s="1"/>
    </row>
    <row r="9">
      <c r="A9" s="7" t="s">
        <v>5</v>
      </c>
      <c r="E9" s="5"/>
      <c r="F9" s="1"/>
    </row>
    <row r="10">
      <c r="A10" s="7"/>
      <c r="E10" s="5"/>
      <c r="F10" s="1"/>
    </row>
    <row r="11">
      <c r="A11" s="2" t="s">
        <v>44</v>
      </c>
      <c r="B11" s="3"/>
      <c r="C11" s="4">
        <v>20.0</v>
      </c>
      <c r="E11" s="5"/>
      <c r="F11" s="1"/>
    </row>
    <row r="12">
      <c r="D12" s="8"/>
      <c r="E12" s="1"/>
      <c r="F12" s="8"/>
      <c r="G12" s="8"/>
      <c r="H12" s="8"/>
      <c r="I12" s="8"/>
      <c r="J12" s="8"/>
    </row>
    <row r="13">
      <c r="A13" s="2" t="s">
        <v>6</v>
      </c>
      <c r="B13" s="9"/>
      <c r="C13" s="3"/>
      <c r="D13" s="10" t="s">
        <v>7</v>
      </c>
      <c r="E13" s="11"/>
      <c r="F13" s="11"/>
      <c r="G13" s="11"/>
      <c r="H13" s="12"/>
      <c r="I13" s="8"/>
      <c r="J13" s="8"/>
    </row>
    <row r="14">
      <c r="A14" s="13" t="s">
        <v>8</v>
      </c>
      <c r="B14" s="13" t="s">
        <v>9</v>
      </c>
      <c r="C14" s="14" t="s">
        <v>10</v>
      </c>
      <c r="D14" s="15" t="s">
        <v>11</v>
      </c>
      <c r="E14" s="15" t="s">
        <v>12</v>
      </c>
      <c r="F14" s="15" t="s">
        <v>13</v>
      </c>
      <c r="G14" s="15" t="s">
        <v>14</v>
      </c>
      <c r="H14" s="15" t="s">
        <v>15</v>
      </c>
      <c r="I14" s="8"/>
      <c r="J14" s="8"/>
    </row>
    <row r="15">
      <c r="A15" s="16">
        <f t="shared" ref="A15:A21" si="2">$C$3</f>
        <v>20</v>
      </c>
      <c r="B15" s="17">
        <f t="shared" ref="B15:B21" si="3">CEILING((A15/C15),0.1)</f>
        <v>3.4</v>
      </c>
      <c r="C15" s="14">
        <v>6.0</v>
      </c>
      <c r="D15" s="18">
        <f t="shared" ref="D15:H15" si="1">IF(MIN(D27:D28)&gt;50,50,(MIN(D27:D28)))</f>
        <v>50</v>
      </c>
      <c r="E15" s="18">
        <f t="shared" si="1"/>
        <v>50</v>
      </c>
      <c r="F15" s="18">
        <f t="shared" si="1"/>
        <v>50</v>
      </c>
      <c r="G15" s="18">
        <f t="shared" si="1"/>
        <v>50</v>
      </c>
      <c r="H15" s="18">
        <f t="shared" si="1"/>
        <v>50</v>
      </c>
      <c r="I15" s="8"/>
      <c r="J15" s="8"/>
    </row>
    <row r="16" hidden="1">
      <c r="A16" s="16">
        <f t="shared" si="2"/>
        <v>20</v>
      </c>
      <c r="B16" s="17" t="str">
        <f t="shared" si="3"/>
        <v>#DIV/0!</v>
      </c>
      <c r="C16" s="14"/>
      <c r="D16" s="18">
        <f t="shared" ref="D16:H16" si="4">IF(MIN(D28:D29)&gt;50,50,(MIN(D28:D29)))</f>
        <v>50</v>
      </c>
      <c r="E16" s="18">
        <f t="shared" si="4"/>
        <v>50</v>
      </c>
      <c r="F16" s="18">
        <f t="shared" si="4"/>
        <v>50</v>
      </c>
      <c r="G16" s="18">
        <f t="shared" si="4"/>
        <v>50</v>
      </c>
      <c r="H16" s="18">
        <f t="shared" si="4"/>
        <v>50</v>
      </c>
      <c r="I16" s="8"/>
      <c r="J16" s="8"/>
    </row>
    <row r="17">
      <c r="A17" s="16">
        <f t="shared" si="2"/>
        <v>20</v>
      </c>
      <c r="B17" s="17">
        <f t="shared" si="3"/>
        <v>2.8</v>
      </c>
      <c r="C17" s="14">
        <v>7.4</v>
      </c>
      <c r="D17" s="18">
        <f t="shared" ref="D17:H17" si="5">IF(MIN(D29:D30)&gt;50,50,(MIN(D29:D30)))</f>
        <v>50</v>
      </c>
      <c r="E17" s="18">
        <f t="shared" si="5"/>
        <v>50</v>
      </c>
      <c r="F17" s="18">
        <f t="shared" si="5"/>
        <v>50</v>
      </c>
      <c r="G17" s="18">
        <f t="shared" si="5"/>
        <v>50</v>
      </c>
      <c r="H17" s="18">
        <f t="shared" si="5"/>
        <v>50</v>
      </c>
      <c r="I17" s="8"/>
      <c r="J17" s="8"/>
    </row>
    <row r="18" hidden="1">
      <c r="A18" s="16">
        <f t="shared" si="2"/>
        <v>20</v>
      </c>
      <c r="B18" s="17" t="str">
        <f t="shared" si="3"/>
        <v>#DIV/0!</v>
      </c>
      <c r="C18" s="14"/>
      <c r="D18" s="18">
        <f t="shared" ref="D18:H18" si="6">IF(MIN(D30:D31)&gt;50,50,(MIN(D30:D31)))</f>
        <v>50</v>
      </c>
      <c r="E18" s="18">
        <f t="shared" si="6"/>
        <v>50</v>
      </c>
      <c r="F18" s="18">
        <f t="shared" si="6"/>
        <v>50</v>
      </c>
      <c r="G18" s="18">
        <f t="shared" si="6"/>
        <v>50</v>
      </c>
      <c r="H18" s="18">
        <f t="shared" si="6"/>
        <v>50</v>
      </c>
      <c r="I18" s="8"/>
      <c r="J18" s="8"/>
    </row>
    <row r="19">
      <c r="A19" s="16">
        <f t="shared" si="2"/>
        <v>20</v>
      </c>
      <c r="B19" s="17">
        <f t="shared" si="3"/>
        <v>2.3</v>
      </c>
      <c r="C19" s="14">
        <v>9.0</v>
      </c>
      <c r="D19" s="18">
        <f t="shared" ref="D19:H19" si="7">IF(MIN(D31:D32)&gt;50,50,(MIN(D31:D32)))</f>
        <v>50</v>
      </c>
      <c r="E19" s="18">
        <f t="shared" si="7"/>
        <v>50</v>
      </c>
      <c r="F19" s="18">
        <f t="shared" si="7"/>
        <v>50</v>
      </c>
      <c r="G19" s="18">
        <f t="shared" si="7"/>
        <v>50</v>
      </c>
      <c r="H19" s="18">
        <f t="shared" si="7"/>
        <v>50</v>
      </c>
      <c r="I19" s="8"/>
      <c r="J19" s="8"/>
    </row>
    <row r="20" hidden="1">
      <c r="A20" s="16">
        <f t="shared" si="2"/>
        <v>20</v>
      </c>
      <c r="B20" s="17" t="str">
        <f t="shared" si="3"/>
        <v>#DIV/0!</v>
      </c>
      <c r="C20" s="14"/>
      <c r="D20" s="18">
        <f t="shared" ref="D20:H20" si="8">IF(MIN(D32:D33)&gt;50,50,(MIN(D32:D33)))</f>
        <v>50</v>
      </c>
      <c r="E20" s="18">
        <f t="shared" si="8"/>
        <v>50</v>
      </c>
      <c r="F20" s="18">
        <f t="shared" si="8"/>
        <v>50</v>
      </c>
      <c r="G20" s="18">
        <f t="shared" si="8"/>
        <v>50</v>
      </c>
      <c r="H20" s="18">
        <f t="shared" si="8"/>
        <v>50</v>
      </c>
      <c r="I20" s="8"/>
      <c r="J20" s="8"/>
    </row>
    <row r="21" ht="15.75" customHeight="1">
      <c r="A21" s="16">
        <f t="shared" si="2"/>
        <v>20</v>
      </c>
      <c r="B21" s="17">
        <f t="shared" si="3"/>
        <v>1.9</v>
      </c>
      <c r="C21" s="14">
        <v>11.0</v>
      </c>
      <c r="D21" s="18">
        <f t="shared" ref="D21:H21" si="9">IF(MIN(D33:D34)&gt;50,50,(MIN(D33:D34)))</f>
        <v>50</v>
      </c>
      <c r="E21" s="18">
        <f t="shared" si="9"/>
        <v>50</v>
      </c>
      <c r="F21" s="18">
        <f t="shared" si="9"/>
        <v>50</v>
      </c>
      <c r="G21" s="18">
        <f t="shared" si="9"/>
        <v>50</v>
      </c>
      <c r="H21" s="18">
        <f t="shared" si="9"/>
        <v>50</v>
      </c>
      <c r="I21" s="8"/>
      <c r="J21" s="8"/>
    </row>
    <row r="22" ht="15.75" customHeight="1">
      <c r="A22" s="19" t="s">
        <v>16</v>
      </c>
      <c r="B22" s="9"/>
      <c r="C22" s="3"/>
      <c r="D22" s="20" t="s">
        <v>17</v>
      </c>
      <c r="E22" s="20" t="s">
        <v>17</v>
      </c>
      <c r="F22" s="20" t="s">
        <v>18</v>
      </c>
      <c r="G22" s="20" t="s">
        <v>18</v>
      </c>
      <c r="H22" s="20" t="s">
        <v>17</v>
      </c>
      <c r="I22" s="8"/>
      <c r="J22" s="8"/>
    </row>
    <row r="23" ht="34.5" customHeight="1">
      <c r="A23" s="35" t="s">
        <v>45</v>
      </c>
      <c r="B23" s="9"/>
      <c r="C23" s="3"/>
      <c r="D23" s="36">
        <v>1.4</v>
      </c>
      <c r="E23" s="36">
        <v>1.4</v>
      </c>
      <c r="F23" s="36">
        <v>1.25</v>
      </c>
      <c r="G23" s="36">
        <v>1.25</v>
      </c>
      <c r="H23" s="36">
        <v>1.25</v>
      </c>
      <c r="I23" s="8"/>
      <c r="J23" s="8"/>
    </row>
    <row r="24" ht="15.75" customHeight="1">
      <c r="D24" s="8"/>
      <c r="E24" s="1"/>
      <c r="F24" s="8"/>
      <c r="G24" s="8"/>
      <c r="H24" s="8"/>
      <c r="I24" s="8"/>
      <c r="J24" s="8"/>
    </row>
    <row r="25" ht="15.75" customHeight="1">
      <c r="B25" s="1" t="s">
        <v>19</v>
      </c>
      <c r="C25" s="1"/>
      <c r="D25" s="8"/>
      <c r="E25" s="8"/>
      <c r="F25" s="8"/>
      <c r="G25" s="8"/>
      <c r="H25" s="8"/>
    </row>
    <row r="26" ht="15.75" customHeight="1">
      <c r="C26" s="14" t="s">
        <v>10</v>
      </c>
      <c r="D26" s="15" t="s">
        <v>11</v>
      </c>
      <c r="E26" s="15" t="s">
        <v>12</v>
      </c>
      <c r="F26" s="15" t="s">
        <v>13</v>
      </c>
      <c r="G26" s="15" t="s">
        <v>14</v>
      </c>
      <c r="H26" s="15" t="s">
        <v>15</v>
      </c>
    </row>
    <row r="27" ht="15.75" customHeight="1">
      <c r="C27" s="15">
        <v>6.0</v>
      </c>
      <c r="D27" s="17">
        <f>10^(-55.725-(9484.1/(20+273.15))*LOG10($C$4/10*$D$23*(C15-1)/2)+25502.2/(20+273.15)+6.39*LOG10($C$4/10*$D$23*(C15-1)/2))/365.25/24</f>
        <v>15870361655425</v>
      </c>
      <c r="E27" s="17">
        <f>10^(-119.546-23738.797/(20+273.15)*LOG10($C$4/10*$E$23*(C15-1)/2)+52176.696/(20+273.15)+31.279*LOG10($C$4/10*$E$23*(C15-1)/2))/365.25/24</f>
        <v>2.86895E+27</v>
      </c>
      <c r="F27" s="17">
        <f>10^(-219-(62600.752/(20+273.15))*LOG10($C$4/10*$F$23*(C15-1)/2)+90635.353/(20+273.15)+126.387*LOG10($C$4/10*$F$23*(C15-1)/2))/365.25/24</f>
        <v>1.27173E+43</v>
      </c>
      <c r="G27" s="17">
        <f>10^(-105.8618-(18506.15/(20+273.15))*LOG10($C$4/10*$G$23*(C15-1)/2)+57895.49/(20+273.15)-24.7997*LOG10($C$4/10*$G$23*(C15-1)/2))/365.25/24</f>
        <v>1.50834E+44</v>
      </c>
      <c r="H27" s="17">
        <f>10^(-430.866-(125010/(20+273.15))*LOG10($C$4/10*$H$23*(C15-1)/2)+173892.7/(20+273.15)+290.0569*LOG10($C$4/10*$H$23*(C15-1)/2))/365.25/24</f>
        <v>7.76745E+90</v>
      </c>
      <c r="I27" s="8" t="s">
        <v>20</v>
      </c>
    </row>
    <row r="28" ht="15.75" customHeight="1">
      <c r="C28" s="15"/>
      <c r="D28" s="17">
        <f>10^(-19.98+9507/(20+273.15)-4.11*LOG10($C$4/10*$D$23*(C15-1)/2))/365.25/24</f>
        <v>1868853.268</v>
      </c>
      <c r="E28" s="17"/>
      <c r="F28" s="17"/>
      <c r="G28" s="17"/>
      <c r="H28" s="17">
        <f>10^(-129.895-(37262.7/(20+273.15))*LOG10($C$4/10*$H$23*(C15-1)/2)+52556.48/(20+273.15)+88.56735*LOG10($C$4/10*$H$23*(C15-1)/2))/365.25/24</f>
        <v>2.34723E+26</v>
      </c>
      <c r="I28" s="8" t="s">
        <v>21</v>
      </c>
    </row>
    <row r="29" ht="15.75" customHeight="1">
      <c r="C29" s="15">
        <v>7.4</v>
      </c>
      <c r="D29" s="17">
        <f>10^(-55.725-(9484.1/(20+273.15))*LOG10($C$4/10*$D$23*(C17-1)/2)+25502.2/(20+273.15)+6.39*LOG10($C$4/10*$D$23*(C17-1)/2))/365.25/24</f>
        <v>26131294464</v>
      </c>
      <c r="E29" s="17">
        <f>10^(-119.546-23738.797/(20+273.15)*LOG10($C$4/10*$E$23*(C17-1)/2)+52176.696/(20+273.15)+31.279*LOG10($C$4/10*$E$23*(C17-1)/2))/365.25/24</f>
        <v>1.34729E+22</v>
      </c>
      <c r="F29" s="17">
        <f>10^(-219-(62600.752/(20+273.15))*LOG10($C$4/10*$F$23*(C17-1)/2)+90635.353/(20+273.15)+126.387*LOG10($C$4/10*$F$23*(C17-1)/2))/365.25/24</f>
        <v>5.75672E+33</v>
      </c>
      <c r="G29" s="17">
        <f>10^(-105.8618-(18506.15/(20+273.15))*LOG10($C$4/10*$G$23*(C17-1)/2)+57895.49/(20+273.15)-24.7997*LOG10($C$4/10*$G$23*(C17-1)/2))/365.25/24</f>
        <v>5.64557E+34</v>
      </c>
      <c r="H29" s="17">
        <f>10^(-430.866-(125010/(20+273.15))*LOG10($C$4/10*$H$23*(C17-1)/2)+173892.7/(20+273.15)+290.0569*LOG10($C$4/10*$H$23*(C17-1)/2))/365.25/24</f>
        <v>1.8577E+76</v>
      </c>
      <c r="I29" s="8" t="s">
        <v>20</v>
      </c>
    </row>
    <row r="30" ht="15.75" customHeight="1">
      <c r="C30" s="15"/>
      <c r="D30" s="17">
        <f>10^(-19.98+9507/(20+273.15)-4.11*LOG10($C$4/10*$D$23*(C17-1)/2))/365.25/24</f>
        <v>677551.3721</v>
      </c>
      <c r="E30" s="14"/>
      <c r="F30" s="14"/>
      <c r="G30" s="14"/>
      <c r="H30" s="17">
        <f>10^(-129.895-(37262.7/(20+273.15))*LOG10($C$4/10*$H$23*(C17-1)/2)+52556.48/(20+273.15)+88.56735*LOG10($C$4/10*$H$23*(C17-1)/2))/365.25/24</f>
        <v>1.73082E+22</v>
      </c>
      <c r="I30" s="8" t="s">
        <v>21</v>
      </c>
    </row>
    <row r="31" ht="15.75" customHeight="1">
      <c r="C31" s="15">
        <v>9.0</v>
      </c>
      <c r="D31" s="17">
        <f>10^(-55.725-(9484.1/(20+273.15))*LOG10($C$4/10*$D$23*(C19-1)/2)+25502.2/(20+273.15)+6.39*LOG10($C$4/10*$D$23*(C19-1)/2))/365.25/24</f>
        <v>79642778.98</v>
      </c>
      <c r="E31" s="17">
        <f>10^(-119.546-23738.797/(20+273.15)*LOG10($C$4/10*$E$23*(C19-1)/2)+52176.696/(20+273.15)+31.279*LOG10($C$4/10*$E$23*(C19-1)/2))/365.25/24</f>
        <v>2.05635E+17</v>
      </c>
      <c r="F31" s="17">
        <f>10^(-219-(62600.752/(20+273.15))*LOG10($C$4/10*$F$23*(C19-1)/2)+90635.353/(20+273.15)+126.387*LOG10($C$4/10*$F$23*(C19-1)/2))/365.25/24</f>
        <v>2.05912E+25</v>
      </c>
      <c r="G31" s="17">
        <f>10^(-105.8618-(18506.15/(20+273.15))*LOG10($C$4/10*$G$23*(C19-1)/2)+57895.49/(20+273.15)-24.7997*LOG10($C$4/10*$G$23*(C19-1)/2))/365.25/24</f>
        <v>1.70049E+26</v>
      </c>
      <c r="H31" s="17">
        <f>10^(-430.866-(125010/(20+273.15))*LOG10($C$4/10*$H$23*(C19-1)/2)+173892.7/(20+273.15)+290.0569*LOG10($C$4/10*$H$23*(C19-1)/2))/365.25/24</f>
        <v>1.12818E+63</v>
      </c>
      <c r="I31" s="8" t="s">
        <v>20</v>
      </c>
    </row>
    <row r="32" ht="15.75" customHeight="1">
      <c r="C32" s="15"/>
      <c r="D32" s="17">
        <f>10^(-19.98+9507/(20+273.15)-4.11*LOG10($C$4/10*$D$23*(C19-1)/2))/365.25/24</f>
        <v>270795.8944</v>
      </c>
      <c r="E32" s="14"/>
      <c r="F32" s="14"/>
      <c r="G32" s="14"/>
      <c r="H32" s="17">
        <f>10^(-129.895-(37262.7/(20+273.15))*LOG10($C$4/10*$H$23*(C19-1)/2)+52556.48/(20+273.15)+88.56735*LOG10($C$4/10*$H$23*(C19-1)/2))/365.25/24</f>
        <v>3.18383E+18</v>
      </c>
      <c r="I32" s="8" t="s">
        <v>21</v>
      </c>
    </row>
    <row r="33" ht="15.75" customHeight="1">
      <c r="C33" s="15">
        <v>11.0</v>
      </c>
      <c r="D33" s="17">
        <f>10^(-55.725-(9484.1/(20+273.15))*LOG10($C$4/10*$D$23*(C21-1)/2)+25502.2/(20+273.15)+6.39*LOG10($C$4/10*$D$23*(C21-1)/2))/365.25/24</f>
        <v>242734.7123</v>
      </c>
      <c r="E33" s="17">
        <f>10^(-119.546-23738.797/(20+273.15)*LOG10($C$4/10*$E$23*(C21-1)/2)+52176.696/(20+273.15)+31.279*LOG10($C$4/10*$E$23*(C21-1)/2))/365.25/24</f>
        <v>3138592199751</v>
      </c>
      <c r="F33" s="17">
        <f>10^(-219-(62600.752/(20+273.15))*LOG10($C$4/10*$F$23*(C21-1)/2)+90635.353/(20+273.15)+126.387*LOG10($C$4/10*$F$23*(C21-1)/2))/365.25/24</f>
        <v>7.36523E+16</v>
      </c>
      <c r="G33" s="17">
        <f>10^(-105.8618-(18506.15/(20+273.15))*LOG10($C$4/10*$G$23*(C21-1)/2)+57895.49/(20+273.15)-24.7997*LOG10($C$4/10*$G$23*(C21-1)/2))/365.25/24</f>
        <v>5.12203E+17</v>
      </c>
      <c r="H33" s="17">
        <f>10^(-430.866-(125010/(20+273.15))*LOG10($C$4/10*$H$23*(C21-1)/2)+173892.7/(20+273.15)+290.0569*LOG10($C$4/10*$H$23*(C21-1)/2))/365.25/24</f>
        <v>6.85148E+49</v>
      </c>
      <c r="I33" s="8" t="s">
        <v>20</v>
      </c>
    </row>
    <row r="34" ht="15.75" customHeight="1">
      <c r="C34" s="15"/>
      <c r="D34" s="17">
        <f>10^(-19.98+9507/(20+273.15)-4.11*LOG10($C$4/10*$D$23*(C21-1)/2))/365.25/24</f>
        <v>108228.5705</v>
      </c>
      <c r="E34" s="14"/>
      <c r="F34" s="14"/>
      <c r="G34" s="14"/>
      <c r="H34" s="17">
        <f>10^(-129.895-(37262.7/(20+273.15))*LOG10($C$4/10*$H$23*(C21-1)/2)+52556.48/(20+273.15)+88.56735*LOG10($C$4/10*$H$23*(C21-1)/2))/365.25/24</f>
        <v>585662559927639</v>
      </c>
      <c r="I34" s="8" t="s">
        <v>21</v>
      </c>
    </row>
    <row r="35" ht="15.75" customHeight="1"/>
    <row r="36" ht="15.75" customHeight="1"/>
    <row r="37" ht="15.75" customHeight="1">
      <c r="C37" s="8" t="s">
        <v>22</v>
      </c>
    </row>
    <row r="38" ht="15.75" customHeight="1">
      <c r="C38" s="8" t="s">
        <v>23</v>
      </c>
    </row>
    <row r="39" ht="15.75" customHeight="1">
      <c r="C39" s="21" t="s">
        <v>24</v>
      </c>
      <c r="D39" s="21" t="s">
        <v>25</v>
      </c>
      <c r="E39" s="22" t="s">
        <v>26</v>
      </c>
      <c r="F39" s="21" t="s">
        <v>25</v>
      </c>
      <c r="G39" s="22" t="s">
        <v>26</v>
      </c>
      <c r="H39" s="21" t="s">
        <v>25</v>
      </c>
      <c r="I39" s="22" t="s">
        <v>26</v>
      </c>
      <c r="J39" s="21" t="s">
        <v>27</v>
      </c>
    </row>
    <row r="40" ht="15.75" customHeight="1">
      <c r="C40" s="23"/>
      <c r="D40" s="23"/>
      <c r="E40" s="24" t="s">
        <v>28</v>
      </c>
      <c r="F40" s="23"/>
      <c r="G40" s="24" t="s">
        <v>28</v>
      </c>
      <c r="H40" s="23"/>
      <c r="I40" s="24" t="s">
        <v>29</v>
      </c>
      <c r="J40" s="23"/>
    </row>
    <row r="41" ht="15.75" customHeight="1">
      <c r="C41" s="25" t="s">
        <v>46</v>
      </c>
      <c r="D41" s="24">
        <v>20.0</v>
      </c>
      <c r="E41" s="24">
        <v>50.0</v>
      </c>
      <c r="F41" s="24" t="s">
        <v>47</v>
      </c>
      <c r="G41" s="24" t="s">
        <v>47</v>
      </c>
      <c r="H41" s="24" t="s">
        <v>47</v>
      </c>
      <c r="I41" s="24" t="s">
        <v>47</v>
      </c>
      <c r="J41" s="26" t="s">
        <v>48</v>
      </c>
    </row>
    <row r="42" ht="15.75" customHeight="1">
      <c r="C42" s="27" t="s">
        <v>32</v>
      </c>
      <c r="D42" s="28"/>
      <c r="E42" s="28"/>
      <c r="F42" s="28"/>
      <c r="G42" s="28"/>
      <c r="H42" s="28"/>
      <c r="I42" s="28"/>
      <c r="J42" s="29"/>
    </row>
    <row r="43" ht="15.75" customHeight="1">
      <c r="C43" s="30" t="s">
        <v>33</v>
      </c>
      <c r="J43" s="31"/>
    </row>
    <row r="44" ht="15.75" customHeight="1">
      <c r="C44" s="30" t="s">
        <v>34</v>
      </c>
      <c r="J44" s="31"/>
    </row>
    <row r="45" ht="15.75" customHeight="1">
      <c r="C45" s="32" t="s">
        <v>35</v>
      </c>
      <c r="D45" s="33"/>
      <c r="E45" s="33"/>
      <c r="F45" s="33"/>
      <c r="G45" s="33"/>
      <c r="H45" s="33"/>
      <c r="I45" s="33"/>
      <c r="J45" s="34"/>
    </row>
    <row r="46" ht="15.75" customHeight="1"/>
    <row r="47" ht="15.75" customHeight="1">
      <c r="C47" s="8" t="s">
        <v>36</v>
      </c>
    </row>
    <row r="48" ht="15.75" customHeight="1">
      <c r="C48" s="8" t="s">
        <v>49</v>
      </c>
    </row>
    <row r="49" ht="15.75" customHeight="1"/>
    <row r="50" ht="15.75" customHeight="1"/>
    <row r="51" ht="15.75" customHeight="1"/>
    <row r="52" ht="15.75" customHeight="1"/>
    <row r="53" ht="15.75" customHeight="1">
      <c r="C53" s="8" t="s">
        <v>39</v>
      </c>
    </row>
    <row r="54" ht="15.75" customHeight="1">
      <c r="C54" s="8" t="s">
        <v>40</v>
      </c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3:B3"/>
    <mergeCell ref="A4:B4"/>
    <mergeCell ref="A5:B5"/>
    <mergeCell ref="A11:B11"/>
    <mergeCell ref="A13:C13"/>
    <mergeCell ref="D13:H13"/>
    <mergeCell ref="A22:C22"/>
    <mergeCell ref="C43:J43"/>
    <mergeCell ref="C44:J44"/>
    <mergeCell ref="C45:J45"/>
    <mergeCell ref="A23:C23"/>
    <mergeCell ref="C39:C40"/>
    <mergeCell ref="D39:D40"/>
    <mergeCell ref="F39:F40"/>
    <mergeCell ref="H39:H40"/>
    <mergeCell ref="J39:J40"/>
    <mergeCell ref="C42:J4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25"/>
    <col customWidth="1" min="2" max="2" width="11.0"/>
    <col customWidth="1" min="3" max="3" width="12.88"/>
    <col customWidth="1" min="4" max="4" width="16.0"/>
    <col customWidth="1" min="5" max="5" width="24.0"/>
    <col customWidth="1" min="6" max="6" width="14.63"/>
    <col customWidth="1" min="7" max="7" width="19.38"/>
    <col customWidth="1" min="8" max="8" width="25.63"/>
    <col customWidth="1" min="9" max="9" width="19.5"/>
    <col customWidth="1" min="10" max="10" width="8.5"/>
    <col customWidth="1" min="11" max="26" width="6.63"/>
  </cols>
  <sheetData>
    <row r="1">
      <c r="A1" s="1" t="s">
        <v>0</v>
      </c>
    </row>
    <row r="3">
      <c r="A3" s="2" t="s">
        <v>1</v>
      </c>
      <c r="B3" s="3"/>
      <c r="C3" s="4">
        <v>75.0</v>
      </c>
      <c r="F3" s="8"/>
      <c r="J3" s="16"/>
      <c r="K3" s="8" t="s">
        <v>50</v>
      </c>
    </row>
    <row r="4">
      <c r="A4" s="2" t="s">
        <v>2</v>
      </c>
      <c r="B4" s="3"/>
      <c r="C4" s="4">
        <v>6.0</v>
      </c>
      <c r="F4" s="8"/>
      <c r="J4" s="37"/>
      <c r="K4" s="8" t="s">
        <v>51</v>
      </c>
    </row>
    <row r="5">
      <c r="A5" s="5"/>
      <c r="B5" s="5"/>
      <c r="C5" s="1"/>
      <c r="F5" s="8"/>
      <c r="J5" s="38"/>
      <c r="K5" s="8" t="s">
        <v>52</v>
      </c>
    </row>
    <row r="6">
      <c r="A6" s="5"/>
      <c r="B6" s="5"/>
      <c r="C6" s="1"/>
      <c r="F6" s="8"/>
      <c r="J6" s="39"/>
      <c r="K6" s="8" t="s">
        <v>53</v>
      </c>
    </row>
    <row r="7">
      <c r="A7" s="6" t="s">
        <v>54</v>
      </c>
      <c r="B7" s="5"/>
      <c r="C7" s="1"/>
      <c r="J7" s="40"/>
    </row>
    <row r="8">
      <c r="A8" s="2" t="s">
        <v>55</v>
      </c>
      <c r="B8" s="3"/>
      <c r="C8" s="14" t="s">
        <v>56</v>
      </c>
      <c r="D8" s="14" t="s">
        <v>57</v>
      </c>
      <c r="J8" s="36" t="s">
        <v>11</v>
      </c>
      <c r="K8" s="8" t="s">
        <v>58</v>
      </c>
    </row>
    <row r="9">
      <c r="A9" s="2" t="s">
        <v>59</v>
      </c>
      <c r="B9" s="3"/>
      <c r="C9" s="41">
        <v>95.0</v>
      </c>
      <c r="D9" s="41">
        <v>5.0</v>
      </c>
      <c r="J9" s="36" t="s">
        <v>12</v>
      </c>
      <c r="K9" s="8" t="s">
        <v>60</v>
      </c>
    </row>
    <row r="10">
      <c r="A10" s="2" t="s">
        <v>61</v>
      </c>
      <c r="B10" s="3"/>
      <c r="C10" s="41">
        <v>70.0</v>
      </c>
      <c r="D10" s="41">
        <v>4.0</v>
      </c>
      <c r="J10" s="36" t="s">
        <v>13</v>
      </c>
      <c r="K10" s="8" t="s">
        <v>62</v>
      </c>
    </row>
    <row r="11">
      <c r="A11" s="2" t="s">
        <v>63</v>
      </c>
      <c r="B11" s="3"/>
      <c r="C11" s="41">
        <v>20.0</v>
      </c>
      <c r="D11" s="41">
        <v>3.0</v>
      </c>
      <c r="E11" s="5"/>
      <c r="F11" s="1"/>
      <c r="J11" s="36" t="s">
        <v>14</v>
      </c>
      <c r="K11" s="8" t="s">
        <v>64</v>
      </c>
    </row>
    <row r="12">
      <c r="A12" s="6" t="s">
        <v>4</v>
      </c>
      <c r="C12" s="1" t="s">
        <v>65</v>
      </c>
      <c r="D12" s="42">
        <f>SUM(D9:D11)</f>
        <v>12</v>
      </c>
      <c r="E12" s="5"/>
      <c r="F12" s="1"/>
      <c r="J12" s="43" t="s">
        <v>15</v>
      </c>
      <c r="K12" s="8" t="s">
        <v>66</v>
      </c>
    </row>
    <row r="13">
      <c r="A13" s="6"/>
      <c r="E13" s="5"/>
      <c r="F13" s="1"/>
    </row>
    <row r="14">
      <c r="A14" s="7" t="s">
        <v>5</v>
      </c>
      <c r="E14" s="5"/>
      <c r="F14" s="1"/>
    </row>
    <row r="15">
      <c r="D15" s="8"/>
      <c r="E15" s="1"/>
      <c r="F15" s="8"/>
      <c r="G15" s="8"/>
      <c r="H15" s="8"/>
      <c r="I15" s="8"/>
      <c r="J15" s="8"/>
    </row>
    <row r="16">
      <c r="A16" s="2" t="s">
        <v>6</v>
      </c>
      <c r="B16" s="9"/>
      <c r="C16" s="3"/>
      <c r="D16" s="10" t="s">
        <v>7</v>
      </c>
      <c r="E16" s="11"/>
      <c r="F16" s="11"/>
      <c r="G16" s="11"/>
      <c r="H16" s="12"/>
      <c r="I16" s="8"/>
      <c r="J16" s="8"/>
    </row>
    <row r="17">
      <c r="A17" s="20" t="s">
        <v>8</v>
      </c>
      <c r="B17" s="20" t="s">
        <v>9</v>
      </c>
      <c r="C17" s="36" t="s">
        <v>10</v>
      </c>
      <c r="D17" s="36" t="s">
        <v>11</v>
      </c>
      <c r="E17" s="36" t="s">
        <v>12</v>
      </c>
      <c r="F17" s="36" t="s">
        <v>13</v>
      </c>
      <c r="G17" s="36" t="s">
        <v>14</v>
      </c>
      <c r="H17" s="43" t="s">
        <v>15</v>
      </c>
      <c r="I17" s="8"/>
      <c r="J17" s="8"/>
    </row>
    <row r="18">
      <c r="A18" s="44">
        <f t="shared" ref="A18:A24" si="2">$C$3</f>
        <v>75</v>
      </c>
      <c r="B18" s="45">
        <f t="shared" ref="B18:B24" si="3">CEILING((A18/C18),0.1)</f>
        <v>12.5</v>
      </c>
      <c r="C18" s="44">
        <v>6.0</v>
      </c>
      <c r="D18" s="46">
        <f t="shared" ref="D18:H18" si="1">1/($C$34/(IF(MIN(D40:D41)&gt;50,50,(MIN(D40:D41))))+$C$35/(IF(MIN(D52:D53)&gt;50,50,(MIN(D52:D53))))+$C$36/(IF(MIN(D64:D65)&gt;50,50,(MIN(D64:D65)))))</f>
        <v>6.315576743</v>
      </c>
      <c r="E18" s="46">
        <f t="shared" si="1"/>
        <v>50</v>
      </c>
      <c r="F18" s="46">
        <f t="shared" si="1"/>
        <v>50</v>
      </c>
      <c r="G18" s="46">
        <f t="shared" si="1"/>
        <v>50</v>
      </c>
      <c r="H18" s="46">
        <f t="shared" si="1"/>
        <v>50</v>
      </c>
      <c r="I18" s="8"/>
      <c r="J18" s="8"/>
    </row>
    <row r="19" hidden="1">
      <c r="A19" s="44">
        <f t="shared" si="2"/>
        <v>75</v>
      </c>
      <c r="B19" s="45" t="str">
        <f t="shared" si="3"/>
        <v>#DIV/0!</v>
      </c>
      <c r="C19" s="44"/>
      <c r="D19" s="46">
        <f t="shared" ref="D19:H19" si="4">1/($C$34/(IF(MIN(D41:D42)&gt;50,50,(MIN(D41:D42))))+$C$35/(IF(MIN(D53:D54)&gt;50,50,(MIN(D53:D54))))+$C$36/(IF(MIN(D65:D66)&gt;50,50,(MIN(D65:D66)))))</f>
        <v>6.315576743</v>
      </c>
      <c r="E19" s="46">
        <f t="shared" si="4"/>
        <v>50</v>
      </c>
      <c r="F19" s="46">
        <f t="shared" si="4"/>
        <v>50</v>
      </c>
      <c r="G19" s="46">
        <f t="shared" si="4"/>
        <v>50</v>
      </c>
      <c r="H19" s="46">
        <f t="shared" si="4"/>
        <v>50</v>
      </c>
      <c r="I19" s="8"/>
      <c r="J19" s="8"/>
    </row>
    <row r="20">
      <c r="A20" s="44">
        <f t="shared" si="2"/>
        <v>75</v>
      </c>
      <c r="B20" s="45">
        <f t="shared" si="3"/>
        <v>10.2</v>
      </c>
      <c r="C20" s="44">
        <v>7.4</v>
      </c>
      <c r="D20" s="46">
        <f t="shared" ref="D20:H20" si="5">1/($C$34/(IF(MIN(D42:D43)&gt;50,50,(MIN(D42:D43))))+$C$35/(IF(MIN(D54:D55)&gt;50,50,(MIN(D54:D55))))+$C$36/(IF(MIN(D66:D67)&gt;50,50,(MIN(D66:D67)))))</f>
        <v>2.402551875</v>
      </c>
      <c r="E20" s="46">
        <f t="shared" si="5"/>
        <v>50</v>
      </c>
      <c r="F20" s="46">
        <f t="shared" si="5"/>
        <v>50</v>
      </c>
      <c r="G20" s="46">
        <f t="shared" si="5"/>
        <v>50</v>
      </c>
      <c r="H20" s="46">
        <f t="shared" si="5"/>
        <v>50</v>
      </c>
      <c r="I20" s="8"/>
      <c r="J20" s="8"/>
    </row>
    <row r="21" ht="15.75" hidden="1" customHeight="1">
      <c r="A21" s="44">
        <f t="shared" si="2"/>
        <v>75</v>
      </c>
      <c r="B21" s="45" t="str">
        <f t="shared" si="3"/>
        <v>#DIV/0!</v>
      </c>
      <c r="C21" s="44"/>
      <c r="D21" s="46">
        <f t="shared" ref="D21:H21" si="6">1/($C$34/(IF(MIN(D43:D44)&gt;50,50,(MIN(D43:D44))))+$C$35/(IF(MIN(D55:D56)&gt;50,50,(MIN(D55:D56))))+$C$36/(IF(MIN(D67:D68)&gt;50,50,(MIN(D67:D68)))))</f>
        <v>0.1608405094</v>
      </c>
      <c r="E21" s="46">
        <f t="shared" si="6"/>
        <v>1.382128828</v>
      </c>
      <c r="F21" s="46">
        <f t="shared" si="6"/>
        <v>0.2200876542</v>
      </c>
      <c r="G21" s="46">
        <f t="shared" si="6"/>
        <v>50</v>
      </c>
      <c r="H21" s="46">
        <f t="shared" si="6"/>
        <v>50</v>
      </c>
      <c r="I21" s="8"/>
      <c r="J21" s="8"/>
    </row>
    <row r="22" ht="15.75" customHeight="1">
      <c r="A22" s="44">
        <f t="shared" si="2"/>
        <v>75</v>
      </c>
      <c r="B22" s="45">
        <f t="shared" si="3"/>
        <v>8.4</v>
      </c>
      <c r="C22" s="44">
        <v>9.0</v>
      </c>
      <c r="D22" s="46">
        <f t="shared" ref="D22:H22" si="7">1/($C$34/(IF(MIN(D44:D45)&gt;50,50,(MIN(D44:D45))))+$C$35/(IF(MIN(D56:D57)&gt;50,50,(MIN(D56:D57))))+$C$36/(IF(MIN(D68:D69)&gt;50,50,(MIN(D68:D69)))))</f>
        <v>0.1607377504</v>
      </c>
      <c r="E22" s="46">
        <f t="shared" si="7"/>
        <v>1.382128828</v>
      </c>
      <c r="F22" s="46">
        <f t="shared" si="7"/>
        <v>0.2200876542</v>
      </c>
      <c r="G22" s="46">
        <f t="shared" si="7"/>
        <v>50</v>
      </c>
      <c r="H22" s="47">
        <f t="shared" si="7"/>
        <v>50</v>
      </c>
      <c r="I22" s="8"/>
      <c r="J22" s="8"/>
    </row>
    <row r="23" ht="15.75" hidden="1" customHeight="1">
      <c r="A23" s="44">
        <f t="shared" si="2"/>
        <v>75</v>
      </c>
      <c r="B23" s="45" t="str">
        <f t="shared" si="3"/>
        <v>#DIV/0!</v>
      </c>
      <c r="C23" s="44"/>
      <c r="D23" s="46">
        <f t="shared" ref="D23:H23" si="8">1/($C$34/(IF(MIN(D45:D46)&gt;50,50,(MIN(D45:D46))))+$C$35/(IF(MIN(D57:D58)&gt;50,50,(MIN(D57:D58))))+$C$36/(IF(MIN(D69:D70)&gt;50,50,(MIN(D69:D70)))))</f>
        <v>0.002137276456</v>
      </c>
      <c r="E23" s="46">
        <f t="shared" si="8"/>
        <v>0.0008510737677</v>
      </c>
      <c r="F23" s="46">
        <f t="shared" si="8"/>
        <v>0.00001297660017</v>
      </c>
      <c r="G23" s="46">
        <f t="shared" si="8"/>
        <v>0.06320535632</v>
      </c>
      <c r="H23" s="46">
        <f t="shared" si="8"/>
        <v>50</v>
      </c>
      <c r="I23" s="8"/>
      <c r="J23" s="8"/>
    </row>
    <row r="24" ht="15.75" customHeight="1">
      <c r="A24" s="44">
        <f t="shared" si="2"/>
        <v>75</v>
      </c>
      <c r="B24" s="45">
        <f t="shared" si="3"/>
        <v>6.9</v>
      </c>
      <c r="C24" s="44">
        <v>11.0</v>
      </c>
      <c r="D24" s="46">
        <f t="shared" ref="D24:H24" si="9">1/($C$34/(IF(MIN(D46:D47)&gt;50,50,(MIN(D46:D47))))+$C$35/(IF(MIN(D58:D59)&gt;50,50,(MIN(D58:D59))))+$C$36/(IF(MIN(D70:D71)&gt;50,50,(MIN(D70:D71)))))</f>
        <v>0.002137276456</v>
      </c>
      <c r="E24" s="46">
        <f t="shared" si="9"/>
        <v>0.0008510737677</v>
      </c>
      <c r="F24" s="46">
        <f t="shared" si="9"/>
        <v>0.00001297660017</v>
      </c>
      <c r="G24" s="46">
        <f t="shared" si="9"/>
        <v>0.06320535632</v>
      </c>
      <c r="H24" s="48">
        <f t="shared" si="9"/>
        <v>9.690165363</v>
      </c>
      <c r="I24" s="8"/>
      <c r="J24" s="8"/>
    </row>
    <row r="25" ht="15.75" customHeight="1">
      <c r="A25" s="19" t="s">
        <v>16</v>
      </c>
      <c r="B25" s="9"/>
      <c r="C25" s="3"/>
      <c r="D25" s="20" t="s">
        <v>17</v>
      </c>
      <c r="E25" s="20" t="s">
        <v>17</v>
      </c>
      <c r="F25" s="20" t="s">
        <v>18</v>
      </c>
      <c r="G25" s="20" t="s">
        <v>18</v>
      </c>
      <c r="H25" s="20" t="s">
        <v>17</v>
      </c>
      <c r="I25" s="8"/>
      <c r="J25" s="8"/>
    </row>
    <row r="26" ht="15.75" customHeight="1">
      <c r="D26" s="8"/>
      <c r="E26" s="1"/>
      <c r="F26" s="8"/>
      <c r="G26" s="8"/>
      <c r="H26" s="8"/>
      <c r="I26" s="8"/>
      <c r="J26" s="8"/>
    </row>
    <row r="27" ht="15.75" customHeight="1">
      <c r="D27" s="8"/>
      <c r="E27" s="1"/>
      <c r="F27" s="8"/>
      <c r="G27" s="8"/>
      <c r="H27" s="8"/>
      <c r="I27" s="8"/>
      <c r="J27" s="8"/>
    </row>
    <row r="28" ht="15.75" customHeight="1">
      <c r="D28" s="8"/>
      <c r="E28" s="1"/>
      <c r="F28" s="8"/>
      <c r="G28" s="8"/>
      <c r="H28" s="8"/>
      <c r="I28" s="8"/>
      <c r="J28" s="8"/>
    </row>
    <row r="29" ht="15.75" customHeight="1">
      <c r="D29" s="8"/>
      <c r="E29" s="1"/>
      <c r="F29" s="8"/>
      <c r="G29" s="8"/>
      <c r="H29" s="8"/>
      <c r="I29" s="8"/>
      <c r="J29" s="8"/>
    </row>
    <row r="30" ht="15.75" customHeight="1">
      <c r="D30" s="8"/>
      <c r="E30" s="1"/>
      <c r="F30" s="8"/>
      <c r="G30" s="8"/>
      <c r="H30" s="8"/>
      <c r="I30" s="8"/>
      <c r="J30" s="8"/>
    </row>
    <row r="31" ht="15.75" customHeight="1">
      <c r="D31" s="1" t="s">
        <v>67</v>
      </c>
      <c r="E31" s="1"/>
      <c r="F31" s="8"/>
      <c r="G31" s="8"/>
      <c r="H31" s="8"/>
      <c r="I31" s="8"/>
      <c r="J31" s="8"/>
    </row>
    <row r="32" ht="15.75" customHeight="1">
      <c r="D32" s="1"/>
      <c r="E32" s="1"/>
      <c r="F32" s="8"/>
      <c r="G32" s="8"/>
      <c r="H32" s="8"/>
      <c r="I32" s="8"/>
      <c r="J32" s="8"/>
    </row>
    <row r="33" ht="15.75" customHeight="1">
      <c r="A33" s="49" t="s">
        <v>55</v>
      </c>
      <c r="B33" s="3"/>
      <c r="C33" s="39" t="s">
        <v>68</v>
      </c>
      <c r="D33" s="1"/>
      <c r="E33" s="8"/>
      <c r="F33" s="8"/>
      <c r="G33" s="8"/>
      <c r="H33" s="8"/>
      <c r="I33" s="8"/>
    </row>
    <row r="34" ht="15.75" customHeight="1">
      <c r="A34" s="49" t="s">
        <v>59</v>
      </c>
      <c r="B34" s="3"/>
      <c r="C34" s="50">
        <f t="shared" ref="C34:C36" si="10">D9/SUM($D$9:$D$11)</f>
        <v>0.4166666667</v>
      </c>
      <c r="D34" s="1"/>
      <c r="E34" s="8"/>
      <c r="F34" s="8"/>
      <c r="G34" s="8"/>
      <c r="H34" s="8"/>
      <c r="I34" s="8"/>
    </row>
    <row r="35" ht="15.75" customHeight="1">
      <c r="A35" s="49" t="s">
        <v>61</v>
      </c>
      <c r="B35" s="3"/>
      <c r="C35" s="50">
        <f t="shared" si="10"/>
        <v>0.3333333333</v>
      </c>
      <c r="D35" s="1"/>
      <c r="E35" s="8"/>
      <c r="F35" s="8"/>
      <c r="G35" s="8"/>
      <c r="H35" s="8"/>
      <c r="I35" s="8"/>
    </row>
    <row r="36" ht="15.75" customHeight="1">
      <c r="A36" s="49" t="s">
        <v>63</v>
      </c>
      <c r="B36" s="3"/>
      <c r="C36" s="50">
        <f t="shared" si="10"/>
        <v>0.25</v>
      </c>
      <c r="D36" s="1"/>
      <c r="E36" s="8"/>
      <c r="F36" s="8"/>
      <c r="G36" s="8"/>
      <c r="H36" s="8"/>
      <c r="I36" s="8"/>
    </row>
    <row r="37" ht="15.75" customHeight="1">
      <c r="D37" s="1"/>
      <c r="E37" s="1"/>
      <c r="F37" s="8"/>
      <c r="G37" s="8"/>
      <c r="H37" s="8"/>
      <c r="I37" s="8"/>
      <c r="J37" s="8"/>
    </row>
    <row r="38" ht="15.75" customHeight="1">
      <c r="C38" s="8" t="s">
        <v>59</v>
      </c>
      <c r="D38" s="1"/>
      <c r="E38" s="1"/>
      <c r="F38" s="8"/>
      <c r="G38" s="8"/>
      <c r="H38" s="8"/>
      <c r="I38" s="8"/>
      <c r="J38" s="8"/>
    </row>
    <row r="39" ht="15.75" customHeight="1">
      <c r="C39" s="8" t="s">
        <v>10</v>
      </c>
    </row>
    <row r="40" ht="15.75" customHeight="1">
      <c r="C40" s="51">
        <v>6.0</v>
      </c>
      <c r="D40" s="52">
        <f>10^(-55.725-(9484.1/($C$9+273.15))*LOG10($C$4/10*1.5*($C$18-1)/2)+25502.2/($C$9+273.15)+6.39*LOG10($C$4/10*1.5*($C$18-1)/2))/365.25/24</f>
        <v>604.1047389</v>
      </c>
      <c r="E40" s="52">
        <f>10^(-119.546-23738.797/($C$9+273.15)*LOG10($C$4/10*1.5*($C$18-1)/2)+52176.696/($C$9+273.15)+31.279*LOG10($C$4/10*1.5*($C$18-1)/2))/365.25/24</f>
        <v>3504723.313</v>
      </c>
      <c r="F40" s="52">
        <f>10^(-219-(62600.752/($C$9+273.15))*LOG10($C$4/10*1.5*($C$18-1)/2)+90635.353/($C$9+273.15)+126.387*LOG10($C$4/10*1.5*($C$18-1)/2))/365.25/24</f>
        <v>74858694.63</v>
      </c>
      <c r="G40" s="52">
        <f>10^(-105.8618-(18506.15/($C$9+273.15))*LOG10($C$4/10*1.5*($C$18-1)/2)+57895.49/($C$9+273.15)-24.7997*LOG10($C$4/10*1.5*($C$18-1)/2))/365.25/24</f>
        <v>1.04347E+21</v>
      </c>
      <c r="H40" s="52">
        <f>10^(-430.866-(125010/($C$9+273.15))*LOG10($C$4/10*1.5*($C$18-1)/2)+173892.7/($C$9+273.15)+290.0569*LOG10($C$4/10*1.5*($C$18-1)/2))/365.25/24</f>
        <v>1.25346E+20</v>
      </c>
      <c r="I40" s="8" t="s">
        <v>20</v>
      </c>
    </row>
    <row r="41" ht="15.75" customHeight="1">
      <c r="C41" s="51"/>
      <c r="D41" s="52">
        <f>10^(-19.98+9507/($C$9+273.15)-4.11*LOG10($C$4/10*1.5*($C$18-1)/2))/365.25/24</f>
        <v>2.840805791</v>
      </c>
      <c r="E41" s="52"/>
      <c r="F41" s="52"/>
      <c r="G41" s="52"/>
      <c r="H41" s="52">
        <f>10^(-129.895-(37262.7/($C$9+273.15))*LOG10($C$4/10*1.5*($C$18-1)/2)+52556.48/($C$9+273.15)+88.56735*LOG10($C$4/10*1.5*($C$18-1)/2))/365.25/24</f>
        <v>29232.7055</v>
      </c>
      <c r="I41" s="8" t="s">
        <v>21</v>
      </c>
    </row>
    <row r="42" ht="15.75" customHeight="1">
      <c r="C42" s="51">
        <v>7.4</v>
      </c>
      <c r="D42" s="52">
        <f>10^(-55.725-(9484.1/($C$9+273.15))*LOG10($C$4/10*1.5*($C$20-1)/2)+25502.2/($C$9+273.15)+6.39*LOG10($C$4/10*1.5*($C$20-1)/2))/365.25/24</f>
        <v>5.061662875</v>
      </c>
      <c r="E42" s="52">
        <f>10^(-119.546-23738.797/($C$9+273.15)*LOG10($C$4/10*1.5*($C$20-1)/2)+52176.696/($C$9+273.15)+31.279*LOG10($C$4/10*1.5*($C$20-1)/2))/365.25/24</f>
        <v>966.1271727</v>
      </c>
      <c r="F42" s="52">
        <f>10^(-219-(62600.752/($C$9+273.15))*LOG10($C$4/10*1.5*($C$20-1)/2)+90635.353/($C$9+273.15)+126.387*LOG10($C$4/10*1.5*($C$20-1)/2))/365.25/24</f>
        <v>1563.335777</v>
      </c>
      <c r="G42" s="52">
        <f>10^(-105.8618-(18506.15/($C$9+273.15))*LOG10($C$4/10*1.5*($C$20-1)/2)+57895.49/($C$9+273.15)-24.7997*LOG10($C$4/10*1.5*($C$20-1)/2))/365.25/24</f>
        <v>9342844023011</v>
      </c>
      <c r="H42" s="52">
        <f>10^(-430.866-(125010/($C$9+273.15))*LOG10($C$4/10*1.5*($C$20-1)/2)+173892.7/($C$9+273.15)+290.0569*LOG10($C$4/10*1.5*($C$20-1)/2))/365.25/24</f>
        <v>617441865330957</v>
      </c>
      <c r="I42" s="8" t="s">
        <v>20</v>
      </c>
    </row>
    <row r="43" ht="15.75" customHeight="1">
      <c r="C43" s="51"/>
      <c r="D43" s="52">
        <f>10^(-19.98+9507/($C$9+273.15)-4.11*LOG10($C$4/10*1.5*($C$20-1)/2))/365.25/24</f>
        <v>1.029932041</v>
      </c>
      <c r="E43" s="53"/>
      <c r="F43" s="53"/>
      <c r="G43" s="53"/>
      <c r="H43" s="52">
        <f>10^(-129.895-(37262.7/($C$9+273.15))*LOG10($C$4/10*1.5*($C$20-1)/2)+52556.48/($C$9+273.15)+88.56735*LOG10($C$4/10*1.5*($C$20-1)/2))/365.25/24</f>
        <v>1287.653489</v>
      </c>
      <c r="I43" s="8" t="s">
        <v>21</v>
      </c>
    </row>
    <row r="44" ht="15.75" customHeight="1">
      <c r="C44" s="51">
        <v>9.0</v>
      </c>
      <c r="D44" s="52">
        <f>10^(-55.725-(9484.1/($C$9+273.15))*LOG10($C$4/10*1.5*($C$22-1)/2)+25502.2/($C$9+273.15)+6.39*LOG10($C$4/10*1.5*($C$22-1)/2))/365.25/24</f>
        <v>0.06714287068</v>
      </c>
      <c r="E44" s="52">
        <f>10^(-119.546-23738.797/($C$9+273.15)*LOG10($C$4/10*1.5*($C$22-1)/2)+52176.696/($C$9+273.15)+31.279*LOG10($C$4/10*1.5*($C$22-1)/2))/365.25/24</f>
        <v>0.5853252861</v>
      </c>
      <c r="F44" s="52">
        <f>10^(-219-(62600.752/($C$9+273.15))*LOG10($C$4/10*1.5*($C$22-1)/2)+90635.353/($C$9+273.15)+126.387*LOG10($C$4/10*1.5*($C$22-1)/2))/365.25/24</f>
        <v>0.09193926071</v>
      </c>
      <c r="G44" s="52">
        <f>10^(-105.8618-(18506.15/($C$9+273.15))*LOG10($C$4/10*1.5*($C$22-1)/2)+57895.49/($C$9+273.15)-24.7997*LOG10($C$4/10*1.5*($C$22-1)/2))/365.25/24</f>
        <v>496216.3306</v>
      </c>
      <c r="H44" s="52">
        <f>10^(-430.866-(125010/($C$9+273.15))*LOG10($C$4/10*1.5*($C$22-1)/2)+173892.7/($C$9+273.15)+290.0569*LOG10($C$4/10*1.5*($C$22-1)/2))/365.25/24</f>
        <v>9839894871</v>
      </c>
      <c r="I44" s="8" t="s">
        <v>20</v>
      </c>
    </row>
    <row r="45" ht="15.75" customHeight="1">
      <c r="C45" s="51"/>
      <c r="D45" s="52">
        <f>10^(-19.98+9507/($C$9+273.15)-4.11*LOG10($C$4/10*1.5*($C$22-1)/2))/365.25/24</f>
        <v>0.411631324</v>
      </c>
      <c r="E45" s="53"/>
      <c r="F45" s="53"/>
      <c r="G45" s="53"/>
      <c r="H45" s="52">
        <f>10^(-129.895-(37262.7/($C$9+273.15))*LOG10($C$4/10*1.5*($C$22-1)/2)+52556.48/($C$9+273.15)+88.56735*LOG10($C$4/10*1.5*($C$22-1)/2))/365.25/24</f>
        <v>76.56149074</v>
      </c>
      <c r="I45" s="8" t="s">
        <v>21</v>
      </c>
    </row>
    <row r="46" ht="15.75" customHeight="1">
      <c r="C46" s="51">
        <v>11.0</v>
      </c>
      <c r="D46" s="52">
        <f>10^(-55.725-(9484.1/($C$9+273.15))*LOG10($C$4/10*1.5*($C$24-1)/2)+25502.2/($C$9+273.15)+6.39*LOG10($C$4/10*1.5*($C$24-1)/2))/365.25/24</f>
        <v>0.0008906490208</v>
      </c>
      <c r="E46" s="52">
        <f>10^(-119.546-23738.797/($C$9+273.15)*LOG10($C$4/10*1.5*($C$24-1)/2)+52176.696/($C$9+273.15)+31.279*LOG10($C$4/10*1.5*($C$24-1)/2))/365.25/24</f>
        <v>0.000354617591</v>
      </c>
      <c r="F46" s="52">
        <f>10^(-219-(62600.752/($C$9+273.15))*LOG10($C$4/10*1.5*($C$24-1)/2)+90635.353/($C$9+273.15)+126.387*LOG10($C$4/10*1.5*($C$24-1)/2))/365.25/24</f>
        <v>0.000005406917558</v>
      </c>
      <c r="G46" s="52">
        <f>10^(-105.8618-(18506.15/($C$9+273.15))*LOG10($C$4/10*1.5*($C$24-1)/2)+57895.49/($C$9+273.15)-24.7997*LOG10($C$4/10*1.5*($C$24-1)/2))/365.25/24</f>
        <v>0.0263549992</v>
      </c>
      <c r="H46" s="52">
        <f>10^(-430.866-(125010/($C$9+273.15))*LOG10($C$4/10*1.5*($C$24-1)/2)+173892.7/($C$9+273.15)+290.0569*LOG10($C$4/10*1.5*($C$24-1)/2))/365.25/24</f>
        <v>156814.0039</v>
      </c>
      <c r="I46" s="8" t="s">
        <v>20</v>
      </c>
    </row>
    <row r="47" ht="15.75" customHeight="1">
      <c r="C47" s="51"/>
      <c r="D47" s="52">
        <f>10^(-19.98+9507/($C$9+273.15)-4.11*LOG10($C$4/10*1.5*($C$24-1)/2))/365.25/24</f>
        <v>0.1645160458</v>
      </c>
      <c r="E47" s="53"/>
      <c r="F47" s="53"/>
      <c r="G47" s="53"/>
      <c r="H47" s="52">
        <f>10^(-129.895-(37262.7/($C$9+273.15))*LOG10($C$4/10*1.5*($C$24-1)/2)+52556.48/($C$9+273.15)+88.56735*LOG10($C$4/10*1.5*($C$24-1)/2))/365.25/24</f>
        <v>4.55220439</v>
      </c>
      <c r="I47" s="8" t="s">
        <v>21</v>
      </c>
    </row>
    <row r="48" ht="15.75" customHeight="1"/>
    <row r="49" ht="15.75" customHeight="1"/>
    <row r="50" ht="15.75" customHeight="1">
      <c r="C50" s="8" t="s">
        <v>69</v>
      </c>
    </row>
    <row r="51" ht="15.75" customHeight="1"/>
    <row r="52" ht="15.75" customHeight="1">
      <c r="C52" s="51">
        <v>6.0</v>
      </c>
      <c r="D52" s="52">
        <f>10^(-55.725-(9484.1/($C$10+273.15))*LOG10($C$4/10*1.5*($C$18-1)/2)+25502.2/($C$10+273.15)+6.39*LOG10($C$4/10*1.5*($C$18-1)/2))/365.25/24</f>
        <v>14683773.76</v>
      </c>
      <c r="E52" s="52">
        <f>10^(-119.546-23738.797/($C$10+273.15)*LOG10($C$4/10*1.5*($C$18-1)/2)+52176.696/($C$10+273.15)+31.279*LOG10($C$4/10*1.5*($C$18-1)/2))/365.25/24</f>
        <v>1.64289E+15</v>
      </c>
      <c r="F52" s="52">
        <f>10^(-219-(62600.752/($C$10+273.15))*LOG10($C$4/10*1.5*($C$18-1)/2)+90635.353/($C$10+273.15)+126.387*LOG10($C$4/10*1.5*($C$18-1)/2))/365.25/24</f>
        <v>2.80184E+21</v>
      </c>
      <c r="G52" s="52">
        <f>10^(-105.8618-(18506.15/($C$10+273.15))*LOG10($C$4/10*1.5*($C$18-1)/2)+57895.49/($C$10+273.15)-24.7997*LOG10($C$4/10*1.5*($C$18-1)/2))/365.25/24</f>
        <v>1.53403E+31</v>
      </c>
      <c r="H52" s="52">
        <f>10^(-430.866-(125010/($C$10+273.15))*LOG10($C$4/10*1.5*($C$18-1)/2)+173892.7/($C$10+273.15)+290.0569*LOG10($C$4/10*1.5*($C$18-1)/2))/365.25/24</f>
        <v>6.27767E+45</v>
      </c>
      <c r="I52" s="8" t="s">
        <v>20</v>
      </c>
    </row>
    <row r="53" ht="15.75" customHeight="1">
      <c r="C53" s="51"/>
      <c r="D53" s="52">
        <f>10^(-19.98+9507/($C$10+273.15)-4.11*LOG10($C$4/10*1.5*($C$18-1)/2))/365.25/24</f>
        <v>216.1790599</v>
      </c>
      <c r="E53" s="52"/>
      <c r="F53" s="52"/>
      <c r="G53" s="52"/>
      <c r="H53" s="52">
        <f>10^(-129.895-(37262.7/($C$10+273.15))*LOG10($C$4/10*1.5*($C$18-1)/2)+52556.48/($C$10+273.15)+88.56735*LOG10($C$4/10*1.5*($C$18-1)/2))/365.25/24</f>
        <v>1859682236129</v>
      </c>
      <c r="I53" s="8" t="s">
        <v>21</v>
      </c>
    </row>
    <row r="54" ht="15.75" customHeight="1">
      <c r="C54" s="51">
        <v>7.4</v>
      </c>
      <c r="D54" s="52">
        <f>10^(-55.725-(9484.1/($C$10+273.15))*LOG10($C$4/10*1.5*($C$20-1)/2)+25502.2/($C$10+273.15)+6.39*LOG10($C$4/10*1.5*($C$20-1)/2))/365.25/24</f>
        <v>77410.99761</v>
      </c>
      <c r="E54" s="52">
        <f>10^(-119.546-23738.797/($C$10+273.15)*LOG10($C$4/10*1.5*($C$20-1)/2)+52176.696/($C$10+273.15)+31.279*LOG10($C$4/10*1.5*($C$20-1)/2))/365.25/24</f>
        <v>142018321539</v>
      </c>
      <c r="F54" s="52">
        <f>10^(-219-(62600.752/($C$10+273.15))*LOG10($C$4/10*1.5*($C$20-1)/2)+90635.353/($C$10+273.15)+126.387*LOG10($C$4/10*1.5*($C$20-1)/2))/365.25/24</f>
        <v>2.74857E+15</v>
      </c>
      <c r="G54" s="52">
        <f>10^(-105.8618-(18506.15/($C$10+273.15))*LOG10($C$4/10*1.5*($C$20-1)/2)+57895.49/($C$10+273.15)-24.7997*LOG10($C$4/10*1.5*($C$20-1)/2))/365.25/24</f>
        <v>5.56166E+22</v>
      </c>
      <c r="H54" s="52">
        <f>10^(-430.866-(125010/($C$10+273.15))*LOG10($C$4/10*1.5*($C$20-1)/2)+173892.7/($C$10+273.15)+290.0569*LOG10($C$4/10*1.5*($C$20-1)/2))/365.25/24</f>
        <v>6.88741E+37</v>
      </c>
      <c r="I54" s="8" t="s">
        <v>20</v>
      </c>
    </row>
    <row r="55" ht="15.75" customHeight="1">
      <c r="C55" s="51"/>
      <c r="D55" s="52">
        <f>10^(-19.98+9507/($C$10+273.15)-4.11*LOG10($C$4/10*1.5*($C$20-1)/2))/365.25/24</f>
        <v>78.37555851</v>
      </c>
      <c r="E55" s="53"/>
      <c r="F55" s="53"/>
      <c r="G55" s="53"/>
      <c r="H55" s="52">
        <f>10^(-129.895-(37262.7/($C$10+273.15))*LOG10($C$4/10*1.5*($C$20-1)/2)+52556.48/($C$10+273.15)+88.56735*LOG10($C$4/10*1.5*($C$20-1)/2))/365.25/24</f>
        <v>13267774393</v>
      </c>
      <c r="I55" s="8" t="s">
        <v>21</v>
      </c>
    </row>
    <row r="56" ht="15.75" customHeight="1">
      <c r="C56" s="51">
        <v>9.0</v>
      </c>
      <c r="D56" s="52">
        <f>10^(-55.725-(9484.1/($C$10+273.15))*LOG10($C$4/10*1.5*($C$22-1)/2)+25502.2/($C$10+273.15)+6.39*LOG10($C$4/10*1.5*($C$22-1)/2))/365.25/24</f>
        <v>675.4990361</v>
      </c>
      <c r="E56" s="52">
        <f>10^(-119.546-23738.797/($C$10+273.15)*LOG10($C$4/10*1.5*($C$22-1)/2)+52176.696/($C$10+273.15)+31.279*LOG10($C$4/10*1.5*($C$22-1)/2))/365.25/24</f>
        <v>30161181.13</v>
      </c>
      <c r="F56" s="52">
        <f>10^(-219-(62600.752/($C$10+273.15))*LOG10($C$4/10*1.5*($C$22-1)/2)+90635.353/($C$10+273.15)+126.387*LOG10($C$4/10*1.5*($C$22-1)/2))/365.25/24</f>
        <v>10186093528</v>
      </c>
      <c r="G56" s="52">
        <f>10^(-105.8618-(18506.15/($C$10+273.15))*LOG10($C$4/10*1.5*($C$22-1)/2)+57895.49/($C$10+273.15)-24.7997*LOG10($C$4/10*1.5*($C$22-1)/2))/365.25/24</f>
        <v>1.30463E+15</v>
      </c>
      <c r="H56" s="52">
        <f>10^(-430.866-(125010/($C$10+273.15))*LOG10($C$4/10*1.5*($C$22-1)/2)+173892.7/($C$10+273.15)+290.0569*LOG10($C$4/10*1.5*($C$22-1)/2))/365.25/24</f>
        <v>4.3957E+30</v>
      </c>
      <c r="I56" s="8" t="s">
        <v>20</v>
      </c>
    </row>
    <row r="57" ht="15.75" customHeight="1">
      <c r="C57" s="51"/>
      <c r="D57" s="52">
        <f>10^(-19.98+9507/($C$10+273.15)-4.11*LOG10($C$4/10*1.5*($C$22-1)/2))/365.25/24</f>
        <v>31.32423657</v>
      </c>
      <c r="E57" s="53"/>
      <c r="F57" s="53"/>
      <c r="G57" s="53"/>
      <c r="H57" s="52">
        <f>10^(-129.895-(37262.7/($C$10+273.15))*LOG10($C$4/10*1.5*($C$22-1)/2)+52556.48/($C$10+273.15)+88.56735*LOG10($C$4/10*1.5*($C$22-1)/2))/365.25/24</f>
        <v>152191741.3</v>
      </c>
      <c r="I57" s="8" t="s">
        <v>21</v>
      </c>
    </row>
    <row r="58" ht="15.75" customHeight="1">
      <c r="C58" s="51">
        <v>11.0</v>
      </c>
      <c r="D58" s="52">
        <f>10^(-55.725-(9484.1/($C$10+273.15))*LOG10($C$4/10*1.5*($C$24-1)/2)+25502.2/($C$10+273.15)+6.39*LOG10($C$4/10*1.5*($C$24-1)/2))/365.25/24</f>
        <v>5.894497706</v>
      </c>
      <c r="E58" s="52">
        <f>10^(-119.546-23738.797/($C$10+273.15)*LOG10($C$4/10*1.5*($C$24-1)/2)+52176.696/($C$10+273.15)+31.279*LOG10($C$4/10*1.5*($C$24-1)/2))/365.25/24</f>
        <v>6405.489356</v>
      </c>
      <c r="F58" s="52">
        <f>10^(-219-(62600.752/($C$10+273.15))*LOG10($C$4/10*1.5*($C$24-1)/2)+90635.353/($C$10+273.15)+126.387*LOG10($C$4/10*1.5*($C$24-1)/2))/365.25/24</f>
        <v>37749.28653</v>
      </c>
      <c r="G58" s="52">
        <f>10^(-105.8618-(18506.15/($C$10+273.15))*LOG10($C$4/10*1.5*($C$24-1)/2)+57895.49/($C$10+273.15)-24.7997*LOG10($C$4/10*1.5*($C$24-1)/2))/365.25/24</f>
        <v>30603553.4</v>
      </c>
      <c r="H58" s="52">
        <f>10^(-430.866-(125010/($C$10+273.15))*LOG10($C$4/10*1.5*($C$24-1)/2)+173892.7/($C$10+273.15)+290.0569*LOG10($C$4/10*1.5*($C$24-1)/2))/365.25/24</f>
        <v>2.80543E+23</v>
      </c>
      <c r="I58" s="8" t="s">
        <v>20</v>
      </c>
    </row>
    <row r="59" ht="15.75" customHeight="1">
      <c r="C59" s="51"/>
      <c r="D59" s="52">
        <f>10^(-19.98+9507/($C$10+273.15)-4.11*LOG10($C$4/10*1.5*($C$24-1)/2))/365.25/24</f>
        <v>12.51930851</v>
      </c>
      <c r="E59" s="53"/>
      <c r="F59" s="53"/>
      <c r="G59" s="53"/>
      <c r="H59" s="52">
        <f>10^(-129.895-(37262.7/($C$10+273.15))*LOG10($C$4/10*1.5*($C$24-1)/2)+52556.48/($C$10+273.15)+88.56735*LOG10($C$4/10*1.5*($C$24-1)/2))/365.25/24</f>
        <v>1745758.213</v>
      </c>
      <c r="I59" s="8" t="s">
        <v>21</v>
      </c>
    </row>
    <row r="60" ht="15.75" customHeight="1"/>
    <row r="61" ht="15.75" customHeight="1"/>
    <row r="62" ht="15.75" customHeight="1">
      <c r="C62" s="8" t="s">
        <v>63</v>
      </c>
    </row>
    <row r="63" ht="15.75" customHeight="1"/>
    <row r="64" ht="15.75" customHeight="1">
      <c r="C64" s="51">
        <v>6.0</v>
      </c>
      <c r="D64" s="52">
        <f>10^(-55.725-(9484.1/($C$11+273.15))*LOG10($C$4/10*1.5*($C$18-1)/2)+25502.2/($C$11+273.15)+6.39*LOG10($C$4/10*1.5*($C$18-1)/2))/365.25/24</f>
        <v>1.52192E+18</v>
      </c>
      <c r="E64" s="52">
        <f>10^(-119.546-23738.797/($C$11+273.15)*LOG10($C$4/10*1.5*($C$18-1)/2)+52176.696/($C$11+273.15)+31.279*LOG10($C$4/10*1.5*($C$18-1)/2))/365.25/24</f>
        <v>9.86973E+36</v>
      </c>
      <c r="F64" s="52">
        <f>10^(-219-(62600.752/($C$11+273.15))*LOG10($C$4/10*1.5*($C$18-1)/2)+90635.353/($C$11+273.15)+126.387*LOG10($C$4/10*1.5*($C$18-1)/2))/365.25/24</f>
        <v>3.4596E+55</v>
      </c>
      <c r="G64" s="52">
        <f>10^(-105.8618-(18506.15/($C$11+273.15))*LOG10($C$4/10*1.5*($C$18-1)/2)+57895.49/($C$11+273.15)-24.7997*LOG10($C$4/10*1.5*($C$18-1)/2))/365.25/24</f>
        <v>5.28457E+56</v>
      </c>
      <c r="H64" s="52">
        <f>10^(-430.866-(125010/($C$11+273.15))*LOG10($C$4/10*1.5*($C$18-1)/2)+173892.7/($C$11+273.15)+290.0569*LOG10($C$4/10*1.5*($C$18-1)/2))/365.25/24</f>
        <v>2.22476E+110</v>
      </c>
      <c r="I64" s="8" t="s">
        <v>20</v>
      </c>
    </row>
    <row r="65" ht="15.75" customHeight="1">
      <c r="C65" s="51"/>
      <c r="D65" s="52">
        <f>10^(-19.98+9507/($C$11+273.15)-4.11*LOG10($C$4/10*1.5*($C$18-1)/2))/365.25/24</f>
        <v>11487478.65</v>
      </c>
      <c r="E65" s="52"/>
      <c r="F65" s="52"/>
      <c r="G65" s="52"/>
      <c r="H65" s="52">
        <f>10^(-129.895-(37262.7/($C$11+273.15))*LOG10($C$4/10*1.5*($C$18-1)/2)+52556.48/($C$11+273.15)+88.56735*LOG10($C$4/10*1.5*($C$18-1)/2))/365.25/24</f>
        <v>7.40518E+31</v>
      </c>
      <c r="I65" s="8" t="s">
        <v>21</v>
      </c>
    </row>
    <row r="66" ht="15.75" customHeight="1">
      <c r="C66" s="51">
        <v>7.4</v>
      </c>
      <c r="D66" s="52">
        <f>10^(-55.725-(9484.1/($C$11+273.15))*LOG10($C$4/10*1.5*($C$20-1)/2)+25502.2/($C$11+273.15)+6.39*LOG10($C$4/10*1.5*($C$20-1)/2))/365.25/24</f>
        <v>2.50591E+15</v>
      </c>
      <c r="E66" s="52">
        <f>10^(-119.546-23738.797/($C$11+273.15)*LOG10($C$4/10*1.5*($C$20-1)/2)+52176.696/($C$11+273.15)+31.279*LOG10($C$4/10*1.5*($C$20-1)/2))/365.25/24</f>
        <v>4.63492E+31</v>
      </c>
      <c r="F66" s="52">
        <f>10^(-219-(62600.752/($C$11+273.15))*LOG10($C$4/10*1.5*($C$20-1)/2)+90635.353/($C$11+273.15)+126.387*LOG10($C$4/10*1.5*($C$20-1)/2))/365.25/24</f>
        <v>1.56605E+46</v>
      </c>
      <c r="G66" s="52">
        <f>10^(-105.8618-(18506.15/($C$11+273.15))*LOG10($C$4/10*1.5*($C$20-1)/2)+57895.49/($C$11+273.15)-24.7997*LOG10($C$4/10*1.5*($C$20-1)/2))/365.25/24</f>
        <v>1.97797E+47</v>
      </c>
      <c r="H66" s="52">
        <f>10^(-430.866-(125010/($C$11+273.15))*LOG10($C$4/10*1.5*($C$20-1)/2)+173892.7/($C$11+273.15)+290.0569*LOG10($C$4/10*1.5*($C$20-1)/2))/365.25/24</f>
        <v>5.32084E+95</v>
      </c>
      <c r="I66" s="8" t="s">
        <v>20</v>
      </c>
    </row>
    <row r="67" ht="15.75" customHeight="1">
      <c r="C67" s="51"/>
      <c r="D67" s="52">
        <f>10^(-19.98+9507/($C$11+273.15)-4.11*LOG10($C$4/10*1.5*($C$20-1)/2))/365.25/24</f>
        <v>4164776.9</v>
      </c>
      <c r="E67" s="53"/>
      <c r="F67" s="53"/>
      <c r="G67" s="53"/>
      <c r="H67" s="52">
        <f>10^(-129.895-(37262.7/($C$11+273.15))*LOG10($C$4/10*1.5*($C$20-1)/2)+52556.48/($C$11+273.15)+88.56735*LOG10($C$4/10*1.5*($C$20-1)/2))/365.25/24</f>
        <v>5.46049E+27</v>
      </c>
      <c r="I67" s="8" t="s">
        <v>21</v>
      </c>
    </row>
    <row r="68" ht="15.75" customHeight="1">
      <c r="C68" s="51">
        <v>9.0</v>
      </c>
      <c r="D68" s="52">
        <f>10^(-55.725-(9484.1/($C$11+273.15))*LOG10($C$4/10*1.5*($C$22-1)/2)+25502.2/($C$11+273.15)+6.39*LOG10($C$4/10*1.5*($C$22-1)/2))/365.25/24</f>
        <v>7637500035064</v>
      </c>
      <c r="E68" s="52">
        <f>10^(-119.546-23738.797/($C$11+273.15)*LOG10($C$4/10*1.5*($C$22-1)/2)+52176.696/($C$11+273.15)+31.279*LOG10($C$4/10*1.5*($C$22-1)/2))/365.25/24</f>
        <v>7.07423E+26</v>
      </c>
      <c r="F68" s="52">
        <f>10^(-219-(62600.752/($C$11+273.15))*LOG10($C$4/10*1.5*($C$22-1)/2)+90635.353/($C$11+273.15)+126.387*LOG10($C$4/10*1.5*($C$22-1)/2))/365.25/24</f>
        <v>5.6016E+37</v>
      </c>
      <c r="G68" s="52">
        <f>10^(-105.8618-(18506.15/($C$11+273.15))*LOG10($C$4/10*1.5*($C$22-1)/2)+57895.49/($C$11+273.15)-24.7997*LOG10($C$4/10*1.5*($C$22-1)/2))/365.25/24</f>
        <v>5.9578E+38</v>
      </c>
      <c r="H68" s="52">
        <f>10^(-430.866-(125010/($C$11+273.15))*LOG10($C$4/10*1.5*($C$22-1)/2)+173892.7/($C$11+273.15)+290.0569*LOG10($C$4/10*1.5*($C$22-1)/2))/365.25/24</f>
        <v>3.23136E+82</v>
      </c>
      <c r="I68" s="8" t="s">
        <v>20</v>
      </c>
    </row>
    <row r="69" ht="15.75" customHeight="1">
      <c r="C69" s="51"/>
      <c r="D69" s="52">
        <f>10^(-19.98+9507/($C$11+273.15)-4.11*LOG10($C$4/10*1.5*($C$22-1)/2))/365.25/24</f>
        <v>1664529.853</v>
      </c>
      <c r="E69" s="53"/>
      <c r="F69" s="53"/>
      <c r="G69" s="53"/>
      <c r="H69" s="52">
        <f>10^(-129.895-(37262.7/($C$11+273.15))*LOG10($C$4/10*1.5*($C$22-1)/2)+52556.48/($C$11+273.15)+88.56735*LOG10($C$4/10*1.5*($C$22-1)/2))/365.25/24</f>
        <v>1.00445E+24</v>
      </c>
      <c r="I69" s="8" t="s">
        <v>21</v>
      </c>
    </row>
    <row r="70" ht="15.75" customHeight="1">
      <c r="C70" s="51">
        <v>11.0</v>
      </c>
      <c r="D70" s="52">
        <f>10^(-55.725-(9484.1/($C$11+273.15))*LOG10($C$4/10*1.5*($C$24-1)/2)+25502.2/($C$11+273.15)+6.39*LOG10($C$4/10*1.5*($C$24-1)/2))/365.25/24</f>
        <v>23277519913</v>
      </c>
      <c r="E70" s="52">
        <f>10^(-119.546-23738.797/($C$11+273.15)*LOG10($C$4/10*1.5*($C$24-1)/2)+52176.696/($C$11+273.15)+31.279*LOG10($C$4/10*1.5*($C$24-1)/2))/365.25/24</f>
        <v>1.07973E+22</v>
      </c>
      <c r="F70" s="52">
        <f>10^(-219-(62600.752/($C$11+273.15))*LOG10($C$4/10*1.5*($C$24-1)/2)+90635.353/($C$11+273.15)+126.387*LOG10($C$4/10*1.5*($C$24-1)/2))/365.25/24</f>
        <v>2.00363E+29</v>
      </c>
      <c r="G70" s="52">
        <f>10^(-105.8618-(18506.15/($C$11+273.15))*LOG10($C$4/10*1.5*($C$24-1)/2)+57895.49/($C$11+273.15)-24.7997*LOG10($C$4/10*1.5*($C$24-1)/2))/365.25/24</f>
        <v>1.79454E+30</v>
      </c>
      <c r="H70" s="52">
        <f>10^(-430.866-(125010/($C$11+273.15))*LOG10($C$4/10*1.5*($C$24-1)/2)+173892.7/($C$11+273.15)+290.0569*LOG10($C$4/10*1.5*($C$24-1)/2))/365.25/24</f>
        <v>1.96241E+69</v>
      </c>
      <c r="I70" s="8" t="s">
        <v>20</v>
      </c>
    </row>
    <row r="71" ht="15.75" customHeight="1">
      <c r="C71" s="51"/>
      <c r="D71" s="52">
        <f>10^(-19.98+9507/($C$11+273.15)-4.11*LOG10($C$4/10*1.5*($C$24-1)/2))/365.25/24</f>
        <v>665260.0361</v>
      </c>
      <c r="E71" s="53"/>
      <c r="F71" s="53"/>
      <c r="G71" s="53"/>
      <c r="H71" s="52">
        <f>10^(-129.895-(37262.7/($C$11+273.15))*LOG10($C$4/10*1.5*($C$24-1)/2)+52556.48/($C$11+273.15)+88.56735*LOG10($C$4/10*1.5*($C$24-1)/2))/365.25/24</f>
        <v>1.84768E+20</v>
      </c>
      <c r="I71" s="8" t="s">
        <v>21</v>
      </c>
    </row>
    <row r="72" ht="15.75" customHeight="1"/>
    <row r="73" ht="15.75" customHeight="1"/>
    <row r="74" ht="15.75" customHeight="1"/>
    <row r="75" ht="15.75" customHeight="1">
      <c r="B75" s="8" t="s">
        <v>22</v>
      </c>
    </row>
    <row r="76" ht="15.75" customHeight="1">
      <c r="B76" s="8" t="s">
        <v>23</v>
      </c>
    </row>
    <row r="77" ht="29.25" customHeight="1">
      <c r="B77" s="21" t="s">
        <v>24</v>
      </c>
      <c r="C77" s="21" t="s">
        <v>25</v>
      </c>
      <c r="D77" s="22" t="s">
        <v>26</v>
      </c>
      <c r="E77" s="21" t="s">
        <v>25</v>
      </c>
      <c r="F77" s="22" t="s">
        <v>26</v>
      </c>
      <c r="G77" s="21" t="s">
        <v>25</v>
      </c>
      <c r="H77" s="22" t="s">
        <v>26</v>
      </c>
      <c r="I77" s="21" t="s">
        <v>27</v>
      </c>
    </row>
    <row r="78" ht="15.75" customHeight="1">
      <c r="B78" s="23"/>
      <c r="C78" s="23"/>
      <c r="D78" s="24" t="s">
        <v>28</v>
      </c>
      <c r="E78" s="23"/>
      <c r="F78" s="24" t="s">
        <v>28</v>
      </c>
      <c r="G78" s="23"/>
      <c r="H78" s="24" t="s">
        <v>29</v>
      </c>
      <c r="I78" s="23"/>
    </row>
    <row r="79" ht="95.25" customHeight="1">
      <c r="B79" s="21">
        <v>4.0</v>
      </c>
      <c r="C79" s="54">
        <v>20.0</v>
      </c>
      <c r="D79" s="54">
        <v>2.5</v>
      </c>
      <c r="E79" s="21">
        <v>70.0</v>
      </c>
      <c r="F79" s="21">
        <v>2.5</v>
      </c>
      <c r="G79" s="21">
        <v>100.0</v>
      </c>
      <c r="H79" s="21">
        <v>100.0</v>
      </c>
      <c r="I79" s="55" t="s">
        <v>70</v>
      </c>
    </row>
    <row r="80" ht="15.75" hidden="1" customHeight="1">
      <c r="B80" s="56"/>
      <c r="C80" s="54">
        <v>40.0</v>
      </c>
      <c r="D80" s="54">
        <v>20.0</v>
      </c>
      <c r="E80" s="56"/>
      <c r="F80" s="56"/>
      <c r="G80" s="56"/>
      <c r="H80" s="56"/>
      <c r="I80" s="56"/>
    </row>
    <row r="81" ht="15.75" hidden="1" customHeight="1">
      <c r="B81" s="23"/>
      <c r="C81" s="24">
        <v>60.0</v>
      </c>
      <c r="D81" s="24">
        <v>25.0</v>
      </c>
      <c r="E81" s="23"/>
      <c r="F81" s="23"/>
      <c r="G81" s="23"/>
      <c r="H81" s="23"/>
      <c r="I81" s="23"/>
    </row>
    <row r="82" ht="104.25" customHeight="1">
      <c r="B82" s="21">
        <v>5.0</v>
      </c>
      <c r="C82" s="54">
        <v>20.0</v>
      </c>
      <c r="D82" s="54">
        <v>14.0</v>
      </c>
      <c r="E82" s="21">
        <v>90.0</v>
      </c>
      <c r="F82" s="21">
        <v>1.0</v>
      </c>
      <c r="G82" s="21">
        <v>100.0</v>
      </c>
      <c r="H82" s="21">
        <v>100.0</v>
      </c>
      <c r="I82" s="55" t="s">
        <v>71</v>
      </c>
    </row>
    <row r="83" ht="15.75" customHeight="1">
      <c r="B83" s="56"/>
      <c r="C83" s="54">
        <v>60.0</v>
      </c>
      <c r="D83" s="54">
        <v>25.0</v>
      </c>
      <c r="E83" s="56"/>
      <c r="F83" s="56"/>
      <c r="G83" s="56"/>
      <c r="H83" s="56"/>
      <c r="I83" s="56"/>
    </row>
    <row r="84" ht="15.75" customHeight="1">
      <c r="B84" s="23"/>
      <c r="C84" s="24">
        <v>80.0</v>
      </c>
      <c r="D84" s="24">
        <v>10.0</v>
      </c>
      <c r="E84" s="23"/>
      <c r="F84" s="23"/>
      <c r="G84" s="23"/>
      <c r="H84" s="23"/>
      <c r="I84" s="23"/>
    </row>
    <row r="85" ht="15.0" customHeight="1">
      <c r="B85" s="27" t="s">
        <v>32</v>
      </c>
      <c r="C85" s="28"/>
      <c r="D85" s="28"/>
      <c r="E85" s="28"/>
      <c r="F85" s="28"/>
      <c r="G85" s="28"/>
      <c r="H85" s="28"/>
      <c r="I85" s="29"/>
    </row>
    <row r="86" ht="15.0" customHeight="1">
      <c r="B86" s="30" t="s">
        <v>33</v>
      </c>
      <c r="I86" s="31"/>
    </row>
    <row r="87" ht="15.0" customHeight="1">
      <c r="B87" s="30" t="s">
        <v>34</v>
      </c>
      <c r="I87" s="31"/>
    </row>
    <row r="88" ht="15.75" customHeight="1">
      <c r="B88" s="32" t="s">
        <v>35</v>
      </c>
      <c r="C88" s="33"/>
      <c r="D88" s="33"/>
      <c r="E88" s="33"/>
      <c r="F88" s="33"/>
      <c r="G88" s="33"/>
      <c r="H88" s="33"/>
      <c r="I88" s="34"/>
    </row>
    <row r="89" ht="15.75" customHeight="1"/>
    <row r="90" ht="15.75" customHeight="1">
      <c r="B90" s="8" t="s">
        <v>36</v>
      </c>
    </row>
    <row r="91" ht="15.75" customHeight="1"/>
    <row r="92" ht="15.75" customHeight="1"/>
    <row r="93" ht="15.75" customHeight="1">
      <c r="B93" s="8" t="s">
        <v>72</v>
      </c>
    </row>
    <row r="94" ht="15.75" customHeight="1">
      <c r="B94" s="8" t="s">
        <v>73</v>
      </c>
    </row>
    <row r="95" ht="15.75" customHeight="1"/>
    <row r="96" ht="15.75" customHeight="1">
      <c r="B96" s="8" t="s">
        <v>39</v>
      </c>
    </row>
    <row r="97" ht="15.75" customHeight="1">
      <c r="B97" s="8" t="s">
        <v>40</v>
      </c>
    </row>
    <row r="98" ht="15.75" customHeight="1">
      <c r="B98" s="8" t="s">
        <v>74</v>
      </c>
    </row>
    <row r="99" ht="15.75" customHeight="1">
      <c r="B99" s="8" t="s">
        <v>42</v>
      </c>
    </row>
    <row r="100" ht="15.75" customHeight="1">
      <c r="B100" s="8" t="s">
        <v>75</v>
      </c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3:B3"/>
    <mergeCell ref="A4:B4"/>
    <mergeCell ref="A8:B8"/>
    <mergeCell ref="A9:B9"/>
    <mergeCell ref="A10:B10"/>
    <mergeCell ref="A11:B11"/>
    <mergeCell ref="D16:H16"/>
    <mergeCell ref="H79:H81"/>
    <mergeCell ref="I79:I81"/>
    <mergeCell ref="C77:C78"/>
    <mergeCell ref="E77:E78"/>
    <mergeCell ref="G77:G78"/>
    <mergeCell ref="I77:I78"/>
    <mergeCell ref="E79:E81"/>
    <mergeCell ref="F79:F81"/>
    <mergeCell ref="G79:G81"/>
    <mergeCell ref="A16:C16"/>
    <mergeCell ref="A25:C25"/>
    <mergeCell ref="A33:B33"/>
    <mergeCell ref="A34:B34"/>
    <mergeCell ref="A35:B35"/>
    <mergeCell ref="A36:B36"/>
    <mergeCell ref="B77:B78"/>
    <mergeCell ref="B85:I85"/>
    <mergeCell ref="B86:I86"/>
    <mergeCell ref="B87:I87"/>
    <mergeCell ref="B88:I88"/>
    <mergeCell ref="B79:B81"/>
    <mergeCell ref="B82:B84"/>
    <mergeCell ref="E82:E84"/>
    <mergeCell ref="F82:F84"/>
    <mergeCell ref="G82:G84"/>
    <mergeCell ref="H82:H84"/>
    <mergeCell ref="I82:I8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2019-12-28T18:10:59Z</dcterms:created>
  <dc:creator>Lena</dc:creator>
</cp:coreProperties>
</file>